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caladmin\Desktop\IR Submissions\Centers and Offices\OIE\Assessment\"/>
    </mc:Choice>
  </mc:AlternateContent>
  <bookViews>
    <workbookView xWindow="0" yWindow="0" windowWidth="28800" windowHeight="12300" tabRatio="860"/>
  </bookViews>
  <sheets>
    <sheet name="Main Information Sheet" sheetId="1" r:id="rId1"/>
    <sheet name="1" sheetId="2" r:id="rId2"/>
    <sheet name="2" sheetId="3" r:id="rId3"/>
    <sheet name="4 " sheetId="5" r:id="rId4"/>
    <sheet name="6" sheetId="7" r:id="rId5"/>
    <sheet name="9" sheetId="10" r:id="rId6"/>
    <sheet name="10" sheetId="11" r:id="rId7"/>
    <sheet name="12" sheetId="13" r:id="rId8"/>
    <sheet name="13" sheetId="14" r:id="rId9"/>
    <sheet name="14" sheetId="15" r:id="rId10"/>
    <sheet name="15" sheetId="16" r:id="rId11"/>
    <sheet name="18" sheetId="17" r:id="rId12"/>
    <sheet name="19" sheetId="18" r:id="rId13"/>
    <sheet name="20" sheetId="19" r:id="rId14"/>
    <sheet name="21" sheetId="20" r:id="rId15"/>
    <sheet name="23" sheetId="21" r:id="rId16"/>
    <sheet name="24" sheetId="22" r:id="rId17"/>
    <sheet name="25" sheetId="23" r:id="rId18"/>
    <sheet name="26" sheetId="24" r:id="rId19"/>
    <sheet name="27" sheetId="25" r:id="rId20"/>
    <sheet name="28" sheetId="26" r:id="rId21"/>
    <sheet name="29" sheetId="27" r:id="rId22"/>
    <sheet name="30" sheetId="28" r:id="rId23"/>
    <sheet name="31" sheetId="29" r:id="rId24"/>
    <sheet name="32" sheetId="30" r:id="rId25"/>
    <sheet name="33" sheetId="31" r:id="rId26"/>
    <sheet name="34" sheetId="32" r:id="rId27"/>
    <sheet name="35" sheetId="33" r:id="rId28"/>
    <sheet name="37" sheetId="34" r:id="rId29"/>
    <sheet name="38" sheetId="35" r:id="rId30"/>
    <sheet name="41" sheetId="37" r:id="rId31"/>
    <sheet name="47" sheetId="38" r:id="rId32"/>
    <sheet name="Mentor" sheetId="42" r:id="rId33"/>
    <sheet name="Campus Climate" sheetId="44" r:id="rId34"/>
    <sheet name="Spirituality" sheetId="45" r:id="rId35"/>
    <sheet name="STEM" sheetId="46" r:id="rId3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6" l="1"/>
  <c r="M35" i="46"/>
  <c r="N35" i="46"/>
  <c r="O35" i="46"/>
  <c r="L36" i="46"/>
  <c r="M36" i="46"/>
  <c r="N36" i="46"/>
  <c r="O36" i="46"/>
  <c r="K36" i="46"/>
  <c r="K35" i="46"/>
  <c r="L26" i="46"/>
  <c r="M26" i="46"/>
  <c r="N26" i="46"/>
  <c r="O26" i="46"/>
  <c r="K26" i="46"/>
  <c r="G36" i="46"/>
  <c r="P36" i="46" s="1"/>
  <c r="G35" i="46"/>
  <c r="P35" i="46" s="1"/>
  <c r="L27" i="46"/>
  <c r="M27" i="46"/>
  <c r="N27" i="46"/>
  <c r="O27" i="46"/>
  <c r="L28" i="46"/>
  <c r="M28" i="46"/>
  <c r="N28" i="46"/>
  <c r="O28" i="46"/>
  <c r="P28" i="46"/>
  <c r="L29" i="46"/>
  <c r="M29" i="46"/>
  <c r="N29" i="46"/>
  <c r="O29" i="46"/>
  <c r="P29" i="46"/>
  <c r="K29" i="46"/>
  <c r="K28" i="46"/>
  <c r="K27" i="46"/>
  <c r="G27" i="46"/>
  <c r="P27" i="46" s="1"/>
  <c r="G28" i="46"/>
  <c r="G29" i="46"/>
  <c r="G26" i="46"/>
  <c r="P26" i="46" s="1"/>
  <c r="L11" i="46"/>
  <c r="M11" i="46"/>
  <c r="N11" i="46"/>
  <c r="O11" i="46"/>
  <c r="P11" i="46"/>
  <c r="L12" i="46"/>
  <c r="M12" i="46"/>
  <c r="N12" i="46"/>
  <c r="O12" i="46"/>
  <c r="L13" i="46"/>
  <c r="M13" i="46"/>
  <c r="N13" i="46"/>
  <c r="O13" i="46"/>
  <c r="L14" i="46"/>
  <c r="M14" i="46"/>
  <c r="N14" i="46"/>
  <c r="O14" i="46"/>
  <c r="P14" i="46"/>
  <c r="L15" i="46"/>
  <c r="M15" i="46"/>
  <c r="N15" i="46"/>
  <c r="O15" i="46"/>
  <c r="L16" i="46"/>
  <c r="M16" i="46"/>
  <c r="N16" i="46"/>
  <c r="O16" i="46"/>
  <c r="L17" i="46"/>
  <c r="M17" i="46"/>
  <c r="N17" i="46"/>
  <c r="O17" i="46"/>
  <c r="L18" i="46"/>
  <c r="M18" i="46"/>
  <c r="N18" i="46"/>
  <c r="O18" i="46"/>
  <c r="L19" i="46"/>
  <c r="M19" i="46"/>
  <c r="N19" i="46"/>
  <c r="O19" i="46"/>
  <c r="P19" i="46"/>
  <c r="L20" i="46"/>
  <c r="M20" i="46"/>
  <c r="N20" i="46"/>
  <c r="O20" i="46"/>
  <c r="K12" i="46"/>
  <c r="K13" i="46"/>
  <c r="K14" i="46"/>
  <c r="K15" i="46"/>
  <c r="K16" i="46"/>
  <c r="K17" i="46"/>
  <c r="K18" i="46"/>
  <c r="K19" i="46"/>
  <c r="K20" i="46"/>
  <c r="K11" i="46"/>
  <c r="G12" i="46"/>
  <c r="P12" i="46" s="1"/>
  <c r="G13" i="46"/>
  <c r="P13" i="46" s="1"/>
  <c r="G14" i="46"/>
  <c r="G15" i="46"/>
  <c r="P15" i="46" s="1"/>
  <c r="G16" i="46"/>
  <c r="P16" i="46" s="1"/>
  <c r="G17" i="46"/>
  <c r="P17" i="46" s="1"/>
  <c r="G18" i="46"/>
  <c r="P18" i="46" s="1"/>
  <c r="G19" i="46"/>
  <c r="G20" i="46"/>
  <c r="P20" i="46" s="1"/>
  <c r="G11" i="46"/>
  <c r="L4" i="46"/>
  <c r="M4" i="46"/>
  <c r="N4" i="46"/>
  <c r="O4" i="46"/>
  <c r="L5" i="46"/>
  <c r="M5" i="46"/>
  <c r="N5" i="46"/>
  <c r="O5" i="46"/>
  <c r="P5" i="46"/>
  <c r="K5" i="46"/>
  <c r="K4" i="46"/>
  <c r="G5" i="46"/>
  <c r="G4" i="46"/>
  <c r="P4" i="46" s="1"/>
  <c r="N35" i="45"/>
  <c r="K35" i="45"/>
  <c r="L35" i="45"/>
  <c r="M35" i="45"/>
  <c r="K36" i="45"/>
  <c r="L36" i="45"/>
  <c r="M36" i="45"/>
  <c r="J36" i="45"/>
  <c r="J35" i="45"/>
  <c r="F36" i="45"/>
  <c r="N36" i="45" s="1"/>
  <c r="F35" i="45"/>
  <c r="K26" i="45"/>
  <c r="L26" i="45"/>
  <c r="M26" i="45"/>
  <c r="N26" i="45"/>
  <c r="K27" i="45"/>
  <c r="L27" i="45"/>
  <c r="M27" i="45"/>
  <c r="K28" i="45"/>
  <c r="L28" i="45"/>
  <c r="M28" i="45"/>
  <c r="N28" i="45"/>
  <c r="K29" i="45"/>
  <c r="L29" i="45"/>
  <c r="M29" i="45"/>
  <c r="N29" i="45"/>
  <c r="J29" i="45"/>
  <c r="J28" i="45"/>
  <c r="J27" i="45"/>
  <c r="J26" i="45"/>
  <c r="F27" i="45"/>
  <c r="N27" i="45" s="1"/>
  <c r="F28" i="45"/>
  <c r="F29" i="45"/>
  <c r="F26" i="45"/>
  <c r="K13" i="45"/>
  <c r="L13" i="45"/>
  <c r="M13" i="45"/>
  <c r="N13" i="45"/>
  <c r="O13" i="45"/>
  <c r="K14" i="45"/>
  <c r="L14" i="45"/>
  <c r="M14" i="45"/>
  <c r="N14" i="45"/>
  <c r="O14" i="45"/>
  <c r="K15" i="45"/>
  <c r="L15" i="45"/>
  <c r="M15" i="45"/>
  <c r="N15" i="45"/>
  <c r="K16" i="45"/>
  <c r="L16" i="45"/>
  <c r="M16" i="45"/>
  <c r="N16" i="45"/>
  <c r="O16" i="45"/>
  <c r="K17" i="45"/>
  <c r="L17" i="45"/>
  <c r="M17" i="45"/>
  <c r="N17" i="45"/>
  <c r="K18" i="45"/>
  <c r="L18" i="45"/>
  <c r="M18" i="45"/>
  <c r="N18" i="45"/>
  <c r="K19" i="45"/>
  <c r="L19" i="45"/>
  <c r="M19" i="45"/>
  <c r="N19" i="45"/>
  <c r="K20" i="45"/>
  <c r="L20" i="45"/>
  <c r="M20" i="45"/>
  <c r="N20" i="45"/>
  <c r="J20" i="45"/>
  <c r="J19" i="45"/>
  <c r="J18" i="45"/>
  <c r="J17" i="45"/>
  <c r="J16" i="45"/>
  <c r="J15" i="45"/>
  <c r="J14" i="45"/>
  <c r="J13" i="45"/>
  <c r="G14" i="45"/>
  <c r="G15" i="45"/>
  <c r="O15" i="45" s="1"/>
  <c r="G16" i="45"/>
  <c r="G17" i="45"/>
  <c r="O17" i="45" s="1"/>
  <c r="G18" i="45"/>
  <c r="O18" i="45" s="1"/>
  <c r="G19" i="45"/>
  <c r="O19" i="45" s="1"/>
  <c r="G20" i="45"/>
  <c r="O20" i="45" s="1"/>
  <c r="G13" i="45"/>
  <c r="K4" i="45"/>
  <c r="L4" i="45"/>
  <c r="M4" i="45"/>
  <c r="N4" i="45"/>
  <c r="K5" i="45"/>
  <c r="L5" i="45"/>
  <c r="M5" i="45"/>
  <c r="K6" i="45"/>
  <c r="L6" i="45"/>
  <c r="M6" i="45"/>
  <c r="N6" i="45"/>
  <c r="K7" i="45"/>
  <c r="L7" i="45"/>
  <c r="M7" i="45"/>
  <c r="N7" i="45"/>
  <c r="J5" i="45"/>
  <c r="J6" i="45"/>
  <c r="J7" i="45"/>
  <c r="J4" i="45"/>
  <c r="F5" i="45"/>
  <c r="N5" i="45" s="1"/>
  <c r="F6" i="45"/>
  <c r="F7" i="45"/>
  <c r="F4" i="45"/>
  <c r="K39" i="44"/>
  <c r="L39" i="44"/>
  <c r="M39" i="44"/>
  <c r="N39" i="44"/>
  <c r="O39" i="44"/>
  <c r="K40" i="44"/>
  <c r="L40" i="44"/>
  <c r="M40" i="44"/>
  <c r="N40" i="44"/>
  <c r="K41" i="44"/>
  <c r="L41" i="44"/>
  <c r="M41" i="44"/>
  <c r="N41" i="44"/>
  <c r="K42" i="44"/>
  <c r="L42" i="44"/>
  <c r="M42" i="44"/>
  <c r="N42" i="44"/>
  <c r="O42" i="44"/>
  <c r="K43" i="44"/>
  <c r="L43" i="44"/>
  <c r="M43" i="44"/>
  <c r="N43" i="44"/>
  <c r="K44" i="44"/>
  <c r="L44" i="44"/>
  <c r="M44" i="44"/>
  <c r="N44" i="44"/>
  <c r="J44" i="44"/>
  <c r="J43" i="44"/>
  <c r="J42" i="44"/>
  <c r="J41" i="44"/>
  <c r="J40" i="44"/>
  <c r="J39" i="44"/>
  <c r="G40" i="44"/>
  <c r="O40" i="44" s="1"/>
  <c r="G41" i="44"/>
  <c r="O41" i="44" s="1"/>
  <c r="G42" i="44"/>
  <c r="G43" i="44"/>
  <c r="O43" i="44" s="1"/>
  <c r="G44" i="44"/>
  <c r="O44" i="44" s="1"/>
  <c r="G39" i="44"/>
  <c r="K29" i="44"/>
  <c r="L29" i="44"/>
  <c r="M29" i="44"/>
  <c r="N29" i="44"/>
  <c r="K30" i="44"/>
  <c r="L30" i="44"/>
  <c r="M30" i="44"/>
  <c r="N30" i="44"/>
  <c r="O30" i="44"/>
  <c r="K31" i="44"/>
  <c r="L31" i="44"/>
  <c r="M31" i="44"/>
  <c r="N31" i="44"/>
  <c r="K32" i="44"/>
  <c r="L32" i="44"/>
  <c r="M32" i="44"/>
  <c r="N32" i="44"/>
  <c r="K33" i="44"/>
  <c r="L33" i="44"/>
  <c r="M33" i="44"/>
  <c r="N33" i="44"/>
  <c r="K34" i="44"/>
  <c r="L34" i="44"/>
  <c r="M34" i="44"/>
  <c r="N34" i="44"/>
  <c r="J34" i="44"/>
  <c r="J33" i="44"/>
  <c r="J32" i="44"/>
  <c r="J31" i="44"/>
  <c r="J30" i="44"/>
  <c r="J29" i="44"/>
  <c r="G30" i="44"/>
  <c r="G31" i="44"/>
  <c r="O31" i="44" s="1"/>
  <c r="G32" i="44"/>
  <c r="O32" i="44" s="1"/>
  <c r="G33" i="44"/>
  <c r="O33" i="44" s="1"/>
  <c r="G34" i="44"/>
  <c r="O34" i="44" s="1"/>
  <c r="G29" i="44"/>
  <c r="O29" i="44" s="1"/>
  <c r="K12" i="44"/>
  <c r="L12" i="44"/>
  <c r="M12" i="44"/>
  <c r="N12" i="44"/>
  <c r="K13" i="44"/>
  <c r="L13" i="44"/>
  <c r="M13" i="44"/>
  <c r="N13" i="44"/>
  <c r="K14" i="44"/>
  <c r="L14" i="44"/>
  <c r="M14" i="44"/>
  <c r="N14" i="44"/>
  <c r="K15" i="44"/>
  <c r="L15" i="44"/>
  <c r="M15" i="44"/>
  <c r="N15" i="44"/>
  <c r="K16" i="44"/>
  <c r="L16" i="44"/>
  <c r="M16" i="44"/>
  <c r="N16" i="44"/>
  <c r="O16" i="44"/>
  <c r="K17" i="44"/>
  <c r="L17" i="44"/>
  <c r="M17" i="44"/>
  <c r="N17" i="44"/>
  <c r="O17" i="44"/>
  <c r="K18" i="44"/>
  <c r="L18" i="44"/>
  <c r="M18" i="44"/>
  <c r="N18" i="44"/>
  <c r="K19" i="44"/>
  <c r="L19" i="44"/>
  <c r="M19" i="44"/>
  <c r="N19" i="44"/>
  <c r="O19" i="44"/>
  <c r="K20" i="44"/>
  <c r="L20" i="44"/>
  <c r="M20" i="44"/>
  <c r="N20" i="44"/>
  <c r="K21" i="44"/>
  <c r="L21" i="44"/>
  <c r="M21" i="44"/>
  <c r="N21" i="44"/>
  <c r="K22" i="44"/>
  <c r="L22" i="44"/>
  <c r="M22" i="44"/>
  <c r="N22" i="44"/>
  <c r="K23" i="44"/>
  <c r="L23" i="44"/>
  <c r="M23" i="44"/>
  <c r="N23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G13" i="44"/>
  <c r="O13" i="44" s="1"/>
  <c r="G14" i="44"/>
  <c r="O14" i="44" s="1"/>
  <c r="G15" i="44"/>
  <c r="O15" i="44" s="1"/>
  <c r="G16" i="44"/>
  <c r="G17" i="44"/>
  <c r="G18" i="44"/>
  <c r="O18" i="44" s="1"/>
  <c r="G19" i="44"/>
  <c r="G20" i="44"/>
  <c r="O20" i="44" s="1"/>
  <c r="G21" i="44"/>
  <c r="O21" i="44" s="1"/>
  <c r="G22" i="44"/>
  <c r="O22" i="44" s="1"/>
  <c r="G23" i="44"/>
  <c r="O23" i="44" s="1"/>
  <c r="G12" i="44"/>
  <c r="O12" i="44" s="1"/>
  <c r="K4" i="44"/>
  <c r="L4" i="44"/>
  <c r="M4" i="44"/>
  <c r="N4" i="44"/>
  <c r="K5" i="44"/>
  <c r="L5" i="44"/>
  <c r="M5" i="44"/>
  <c r="K6" i="44"/>
  <c r="L6" i="44"/>
  <c r="M6" i="44"/>
  <c r="N6" i="44"/>
  <c r="J6" i="44"/>
  <c r="J5" i="44"/>
  <c r="J4" i="44"/>
  <c r="F5" i="44"/>
  <c r="N5" i="44" s="1"/>
  <c r="F6" i="44"/>
  <c r="F4" i="44"/>
  <c r="K56" i="42"/>
  <c r="L56" i="42"/>
  <c r="M56" i="42"/>
  <c r="N56" i="42"/>
  <c r="K57" i="42"/>
  <c r="L57" i="42"/>
  <c r="M57" i="42"/>
  <c r="N57" i="42"/>
  <c r="O57" i="42"/>
  <c r="J57" i="42"/>
  <c r="J56" i="42"/>
  <c r="G57" i="42"/>
  <c r="G56" i="42"/>
  <c r="O56" i="42" s="1"/>
  <c r="K48" i="42"/>
  <c r="L48" i="42"/>
  <c r="M48" i="42"/>
  <c r="N48" i="42"/>
  <c r="K49" i="42"/>
  <c r="L49" i="42"/>
  <c r="M49" i="42"/>
  <c r="N49" i="42"/>
  <c r="K50" i="42"/>
  <c r="L50" i="42"/>
  <c r="M50" i="42"/>
  <c r="N50" i="42"/>
  <c r="J50" i="42"/>
  <c r="J49" i="42"/>
  <c r="J48" i="42"/>
  <c r="G50" i="42"/>
  <c r="O50" i="42" s="1"/>
  <c r="G49" i="42"/>
  <c r="O49" i="42" s="1"/>
  <c r="G48" i="42"/>
  <c r="O48" i="42" s="1"/>
  <c r="C1081" i="1"/>
  <c r="C1082" i="1"/>
  <c r="C1083" i="1"/>
  <c r="C1084" i="1"/>
  <c r="C1080" i="1"/>
  <c r="B1085" i="1"/>
  <c r="C1085" i="1" s="1"/>
  <c r="K39" i="42"/>
  <c r="L39" i="42"/>
  <c r="M39" i="42"/>
  <c r="N39" i="42"/>
  <c r="K40" i="42"/>
  <c r="L40" i="42"/>
  <c r="M40" i="42"/>
  <c r="N40" i="42"/>
  <c r="O40" i="42"/>
  <c r="K41" i="42"/>
  <c r="L41" i="42"/>
  <c r="M41" i="42"/>
  <c r="N41" i="42"/>
  <c r="K42" i="42"/>
  <c r="L42" i="42"/>
  <c r="M42" i="42"/>
  <c r="N42" i="42"/>
  <c r="J42" i="42"/>
  <c r="J41" i="42"/>
  <c r="J40" i="42"/>
  <c r="J39" i="42"/>
  <c r="G40" i="42"/>
  <c r="G41" i="42"/>
  <c r="O41" i="42" s="1"/>
  <c r="G42" i="42"/>
  <c r="O42" i="42" s="1"/>
  <c r="G39" i="42"/>
  <c r="O39" i="42" s="1"/>
  <c r="K32" i="42"/>
  <c r="L32" i="42"/>
  <c r="M32" i="42"/>
  <c r="N32" i="42"/>
  <c r="K33" i="42"/>
  <c r="L33" i="42"/>
  <c r="M33" i="42"/>
  <c r="N33" i="42"/>
  <c r="J33" i="42"/>
  <c r="J32" i="42"/>
  <c r="G33" i="42"/>
  <c r="O33" i="42" s="1"/>
  <c r="G32" i="42"/>
  <c r="O32" i="42" s="1"/>
  <c r="B1056" i="1"/>
  <c r="C1056" i="1" s="1"/>
  <c r="B1045" i="1"/>
  <c r="C1045" i="1" s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54" i="1" l="1"/>
  <c r="C1053" i="1"/>
  <c r="C1052" i="1"/>
  <c r="C1055" i="1"/>
  <c r="C1051" i="1"/>
  <c r="K23" i="42"/>
  <c r="L23" i="42"/>
  <c r="M23" i="42"/>
  <c r="N23" i="42"/>
  <c r="O23" i="42"/>
  <c r="K24" i="42"/>
  <c r="L24" i="42"/>
  <c r="M24" i="42"/>
  <c r="N24" i="42"/>
  <c r="K25" i="42"/>
  <c r="L25" i="42"/>
  <c r="M25" i="42"/>
  <c r="N25" i="42"/>
  <c r="K26" i="42"/>
  <c r="L26" i="42"/>
  <c r="M26" i="42"/>
  <c r="N26" i="42"/>
  <c r="J26" i="42"/>
  <c r="J25" i="42"/>
  <c r="J24" i="42"/>
  <c r="J23" i="42"/>
  <c r="G26" i="42"/>
  <c r="O26" i="42" s="1"/>
  <c r="G25" i="42"/>
  <c r="O25" i="42" s="1"/>
  <c r="G24" i="42"/>
  <c r="O24" i="42" s="1"/>
  <c r="G23" i="42"/>
  <c r="K16" i="42"/>
  <c r="L16" i="42"/>
  <c r="M16" i="42"/>
  <c r="N16" i="42"/>
  <c r="K17" i="42"/>
  <c r="L17" i="42"/>
  <c r="M17" i="42"/>
  <c r="N17" i="42"/>
  <c r="J17" i="42"/>
  <c r="J16" i="42"/>
  <c r="G16" i="42"/>
  <c r="O16" i="42" s="1"/>
  <c r="G17" i="42"/>
  <c r="O17" i="42" s="1"/>
  <c r="C1003" i="1"/>
  <c r="C1004" i="1"/>
  <c r="C1005" i="1"/>
  <c r="C1006" i="1"/>
  <c r="C1002" i="1"/>
  <c r="B1007" i="1"/>
  <c r="C1007" i="1" s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80" i="1"/>
  <c r="B996" i="1"/>
  <c r="C996" i="1" s="1"/>
  <c r="K4" i="42"/>
  <c r="L4" i="42"/>
  <c r="M4" i="42"/>
  <c r="N4" i="42"/>
  <c r="K5" i="42"/>
  <c r="L5" i="42"/>
  <c r="M5" i="42"/>
  <c r="N5" i="42"/>
  <c r="K6" i="42"/>
  <c r="L6" i="42"/>
  <c r="M6" i="42"/>
  <c r="N6" i="42"/>
  <c r="K7" i="42"/>
  <c r="L7" i="42"/>
  <c r="M7" i="42"/>
  <c r="N7" i="42"/>
  <c r="K8" i="42"/>
  <c r="L8" i="42"/>
  <c r="M8" i="42"/>
  <c r="N8" i="42"/>
  <c r="K9" i="42"/>
  <c r="L9" i="42"/>
  <c r="M9" i="42"/>
  <c r="N9" i="42"/>
  <c r="J9" i="42"/>
  <c r="J8" i="42"/>
  <c r="J7" i="42"/>
  <c r="J6" i="42"/>
  <c r="J5" i="42"/>
  <c r="J4" i="42"/>
  <c r="G5" i="42"/>
  <c r="O5" i="42" s="1"/>
  <c r="G6" i="42"/>
  <c r="O6" i="42" s="1"/>
  <c r="G7" i="42"/>
  <c r="O7" i="42" s="1"/>
  <c r="G8" i="42"/>
  <c r="O8" i="42" s="1"/>
  <c r="G9" i="42"/>
  <c r="O9" i="42" s="1"/>
  <c r="G4" i="42"/>
  <c r="O4" i="42" s="1"/>
  <c r="H4" i="38"/>
  <c r="I4" i="38"/>
  <c r="H5" i="38"/>
  <c r="H6" i="38"/>
  <c r="H7" i="38"/>
  <c r="H8" i="38"/>
  <c r="I8" i="38"/>
  <c r="H9" i="38"/>
  <c r="H10" i="38"/>
  <c r="G10" i="38"/>
  <c r="G9" i="38"/>
  <c r="G8" i="38"/>
  <c r="G7" i="38"/>
  <c r="G6" i="38"/>
  <c r="G5" i="38"/>
  <c r="G4" i="38"/>
  <c r="D5" i="38"/>
  <c r="I5" i="38" s="1"/>
  <c r="D6" i="38"/>
  <c r="I6" i="38" s="1"/>
  <c r="D7" i="38"/>
  <c r="I7" i="38" s="1"/>
  <c r="D8" i="38"/>
  <c r="D9" i="38"/>
  <c r="I9" i="38" s="1"/>
  <c r="D10" i="38"/>
  <c r="I10" i="38" s="1"/>
  <c r="D4" i="38"/>
  <c r="C944" i="1"/>
  <c r="C945" i="1"/>
  <c r="C946" i="1"/>
  <c r="C947" i="1"/>
  <c r="C948" i="1"/>
  <c r="C949" i="1"/>
  <c r="C943" i="1"/>
  <c r="C930" i="1"/>
  <c r="C931" i="1"/>
  <c r="C932" i="1"/>
  <c r="C933" i="1"/>
  <c r="C934" i="1"/>
  <c r="C935" i="1"/>
  <c r="C936" i="1"/>
  <c r="C937" i="1"/>
  <c r="C929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865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79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6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3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17" i="1"/>
  <c r="C694" i="1"/>
  <c r="C695" i="1"/>
  <c r="C696" i="1"/>
  <c r="C697" i="1"/>
  <c r="C698" i="1"/>
  <c r="C699" i="1"/>
  <c r="C700" i="1"/>
  <c r="C701" i="1"/>
  <c r="C702" i="1"/>
  <c r="C703" i="1"/>
  <c r="C693" i="1"/>
  <c r="B704" i="1"/>
  <c r="C704" i="1" s="1"/>
  <c r="B712" i="1"/>
  <c r="C710" i="1" s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74" i="1"/>
  <c r="B688" i="1"/>
  <c r="C688" i="1" s="1"/>
  <c r="K4" i="37"/>
  <c r="L4" i="37"/>
  <c r="M4" i="37"/>
  <c r="N4" i="37"/>
  <c r="K5" i="37"/>
  <c r="L5" i="37"/>
  <c r="M5" i="37"/>
  <c r="N5" i="37"/>
  <c r="J5" i="37"/>
  <c r="J4" i="37"/>
  <c r="G5" i="37"/>
  <c r="O5" i="37" s="1"/>
  <c r="G4" i="37"/>
  <c r="O4" i="37" s="1"/>
  <c r="B661" i="1"/>
  <c r="C660" i="1" s="1"/>
  <c r="H4" i="35"/>
  <c r="H5" i="35"/>
  <c r="H6" i="35"/>
  <c r="H7" i="35"/>
  <c r="I7" i="35"/>
  <c r="G7" i="35"/>
  <c r="G6" i="35"/>
  <c r="G5" i="35"/>
  <c r="G4" i="35"/>
  <c r="D5" i="35"/>
  <c r="I5" i="35" s="1"/>
  <c r="D6" i="35"/>
  <c r="I6" i="35" s="1"/>
  <c r="D7" i="35"/>
  <c r="D4" i="35"/>
  <c r="I4" i="35" s="1"/>
  <c r="H4" i="34"/>
  <c r="H5" i="34"/>
  <c r="H6" i="34"/>
  <c r="H7" i="34"/>
  <c r="I7" i="34"/>
  <c r="H8" i="34"/>
  <c r="G8" i="34"/>
  <c r="G7" i="34"/>
  <c r="G6" i="34"/>
  <c r="G5" i="34"/>
  <c r="G4" i="34"/>
  <c r="D5" i="34"/>
  <c r="I5" i="34" s="1"/>
  <c r="D6" i="34"/>
  <c r="I6" i="34" s="1"/>
  <c r="D7" i="34"/>
  <c r="D8" i="34"/>
  <c r="I8" i="34" s="1"/>
  <c r="D4" i="34"/>
  <c r="I4" i="34" s="1"/>
  <c r="C624" i="1"/>
  <c r="C623" i="1"/>
  <c r="B625" i="1"/>
  <c r="C625" i="1" s="1"/>
  <c r="J4" i="33"/>
  <c r="K4" i="33"/>
  <c r="L4" i="33"/>
  <c r="J5" i="33"/>
  <c r="K5" i="33"/>
  <c r="L5" i="33"/>
  <c r="J6" i="33"/>
  <c r="K6" i="33"/>
  <c r="L6" i="33"/>
  <c r="J7" i="33"/>
  <c r="K7" i="33"/>
  <c r="L7" i="33"/>
  <c r="J8" i="33"/>
  <c r="K8" i="33"/>
  <c r="L8" i="33"/>
  <c r="J9" i="33"/>
  <c r="K9" i="33"/>
  <c r="L9" i="33"/>
  <c r="J10" i="33"/>
  <c r="K10" i="33"/>
  <c r="L10" i="33"/>
  <c r="J11" i="33"/>
  <c r="K11" i="33"/>
  <c r="L11" i="33"/>
  <c r="J12" i="33"/>
  <c r="K12" i="33"/>
  <c r="L12" i="33"/>
  <c r="J13" i="33"/>
  <c r="K13" i="33"/>
  <c r="L13" i="33"/>
  <c r="J14" i="33"/>
  <c r="K14" i="33"/>
  <c r="L14" i="33"/>
  <c r="J15" i="33"/>
  <c r="K15" i="33"/>
  <c r="L15" i="33"/>
  <c r="J16" i="33"/>
  <c r="K16" i="33"/>
  <c r="L16" i="33"/>
  <c r="J17" i="33"/>
  <c r="K17" i="33"/>
  <c r="L17" i="33"/>
  <c r="J18" i="33"/>
  <c r="K18" i="33"/>
  <c r="L18" i="33"/>
  <c r="J19" i="33"/>
  <c r="K19" i="33"/>
  <c r="L19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7" i="33"/>
  <c r="I6" i="33"/>
  <c r="I5" i="33"/>
  <c r="I4" i="33"/>
  <c r="F5" i="33"/>
  <c r="M5" i="33" s="1"/>
  <c r="F6" i="33"/>
  <c r="M6" i="33" s="1"/>
  <c r="F7" i="33"/>
  <c r="M7" i="33" s="1"/>
  <c r="F8" i="33"/>
  <c r="M8" i="33" s="1"/>
  <c r="F9" i="33"/>
  <c r="M9" i="33" s="1"/>
  <c r="F10" i="33"/>
  <c r="M10" i="33" s="1"/>
  <c r="F11" i="33"/>
  <c r="M11" i="33" s="1"/>
  <c r="F12" i="33"/>
  <c r="M12" i="33" s="1"/>
  <c r="F13" i="33"/>
  <c r="M13" i="33" s="1"/>
  <c r="F14" i="33"/>
  <c r="M14" i="33" s="1"/>
  <c r="F15" i="33"/>
  <c r="M15" i="33" s="1"/>
  <c r="F16" i="33"/>
  <c r="M16" i="33" s="1"/>
  <c r="F17" i="33"/>
  <c r="M17" i="33" s="1"/>
  <c r="F18" i="33"/>
  <c r="M18" i="33" s="1"/>
  <c r="F19" i="33"/>
  <c r="M19" i="33" s="1"/>
  <c r="F4" i="33"/>
  <c r="M4" i="33" s="1"/>
  <c r="J4" i="32"/>
  <c r="K4" i="32"/>
  <c r="L4" i="32"/>
  <c r="J5" i="32"/>
  <c r="K5" i="32"/>
  <c r="L5" i="32"/>
  <c r="J6" i="32"/>
  <c r="K6" i="32"/>
  <c r="L6" i="32"/>
  <c r="J7" i="32"/>
  <c r="K7" i="32"/>
  <c r="L7" i="32"/>
  <c r="J8" i="32"/>
  <c r="K8" i="32"/>
  <c r="L8" i="32"/>
  <c r="J9" i="32"/>
  <c r="K9" i="32"/>
  <c r="L9" i="32"/>
  <c r="J10" i="32"/>
  <c r="K10" i="32"/>
  <c r="L10" i="32"/>
  <c r="J11" i="32"/>
  <c r="K11" i="32"/>
  <c r="L11" i="32"/>
  <c r="J12" i="32"/>
  <c r="K12" i="32"/>
  <c r="L12" i="32"/>
  <c r="J13" i="32"/>
  <c r="K13" i="32"/>
  <c r="L13" i="32"/>
  <c r="J14" i="32"/>
  <c r="K14" i="32"/>
  <c r="L14" i="32"/>
  <c r="J15" i="32"/>
  <c r="K15" i="32"/>
  <c r="L15" i="32"/>
  <c r="J16" i="32"/>
  <c r="K16" i="32"/>
  <c r="L16" i="32"/>
  <c r="J17" i="32"/>
  <c r="K17" i="32"/>
  <c r="L17" i="32"/>
  <c r="J18" i="32"/>
  <c r="K18" i="32"/>
  <c r="L18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F18" i="32"/>
  <c r="M18" i="32" s="1"/>
  <c r="F5" i="32"/>
  <c r="M5" i="32" s="1"/>
  <c r="F6" i="32"/>
  <c r="M6" i="32" s="1"/>
  <c r="F7" i="32"/>
  <c r="M7" i="32" s="1"/>
  <c r="F8" i="32"/>
  <c r="M8" i="32" s="1"/>
  <c r="F9" i="32"/>
  <c r="M9" i="32" s="1"/>
  <c r="F10" i="32"/>
  <c r="M10" i="32" s="1"/>
  <c r="F11" i="32"/>
  <c r="M11" i="32" s="1"/>
  <c r="F12" i="32"/>
  <c r="M12" i="32" s="1"/>
  <c r="F13" i="32"/>
  <c r="M13" i="32" s="1"/>
  <c r="F14" i="32"/>
  <c r="M14" i="32" s="1"/>
  <c r="F15" i="32"/>
  <c r="M15" i="32" s="1"/>
  <c r="F16" i="32"/>
  <c r="M16" i="32" s="1"/>
  <c r="F17" i="32"/>
  <c r="M17" i="32" s="1"/>
  <c r="F4" i="32"/>
  <c r="M4" i="32" s="1"/>
  <c r="B41" i="31"/>
  <c r="C38" i="31" s="1"/>
  <c r="B31" i="31"/>
  <c r="C31" i="31" s="1"/>
  <c r="C18" i="31"/>
  <c r="C19" i="31"/>
  <c r="C20" i="31"/>
  <c r="C17" i="31"/>
  <c r="B21" i="31"/>
  <c r="C21" i="31" s="1"/>
  <c r="K4" i="31"/>
  <c r="L4" i="31"/>
  <c r="M4" i="31"/>
  <c r="N4" i="31"/>
  <c r="K5" i="31"/>
  <c r="L5" i="31"/>
  <c r="M5" i="31"/>
  <c r="N5" i="31"/>
  <c r="K6" i="31"/>
  <c r="L6" i="31"/>
  <c r="M6" i="31"/>
  <c r="N6" i="31"/>
  <c r="O6" i="31"/>
  <c r="K7" i="31"/>
  <c r="L7" i="31"/>
  <c r="M7" i="31"/>
  <c r="N7" i="31"/>
  <c r="O7" i="31"/>
  <c r="K8" i="31"/>
  <c r="L8" i="31"/>
  <c r="M8" i="31"/>
  <c r="N8" i="31"/>
  <c r="K9" i="31"/>
  <c r="L9" i="31"/>
  <c r="M9" i="31"/>
  <c r="N9" i="31"/>
  <c r="K10" i="31"/>
  <c r="L10" i="31"/>
  <c r="M10" i="31"/>
  <c r="N10" i="31"/>
  <c r="K11" i="31"/>
  <c r="L11" i="31"/>
  <c r="M11" i="31"/>
  <c r="N11" i="31"/>
  <c r="J11" i="31"/>
  <c r="J10" i="31"/>
  <c r="J9" i="31"/>
  <c r="J8" i="31"/>
  <c r="J7" i="31"/>
  <c r="J6" i="31"/>
  <c r="J5" i="31"/>
  <c r="J4" i="31"/>
  <c r="G5" i="31"/>
  <c r="O5" i="31" s="1"/>
  <c r="G6" i="31"/>
  <c r="G7" i="31"/>
  <c r="G8" i="31"/>
  <c r="O8" i="31" s="1"/>
  <c r="G9" i="31"/>
  <c r="O9" i="31" s="1"/>
  <c r="G10" i="31"/>
  <c r="O10" i="31" s="1"/>
  <c r="G11" i="31"/>
  <c r="O11" i="31" s="1"/>
  <c r="G4" i="31"/>
  <c r="O4" i="31" s="1"/>
  <c r="J4" i="30"/>
  <c r="K4" i="30"/>
  <c r="L4" i="30"/>
  <c r="M4" i="30"/>
  <c r="J5" i="30"/>
  <c r="K5" i="30"/>
  <c r="L5" i="30"/>
  <c r="J6" i="30"/>
  <c r="K6" i="30"/>
  <c r="L6" i="30"/>
  <c r="M6" i="30"/>
  <c r="J7" i="30"/>
  <c r="K7" i="30"/>
  <c r="L7" i="30"/>
  <c r="J8" i="30"/>
  <c r="K8" i="30"/>
  <c r="L8" i="30"/>
  <c r="M8" i="30"/>
  <c r="J9" i="30"/>
  <c r="K9" i="30"/>
  <c r="L9" i="30"/>
  <c r="J10" i="30"/>
  <c r="K10" i="30"/>
  <c r="L10" i="30"/>
  <c r="J11" i="30"/>
  <c r="K11" i="30"/>
  <c r="L11" i="30"/>
  <c r="J12" i="30"/>
  <c r="K12" i="30"/>
  <c r="L12" i="30"/>
  <c r="M12" i="30"/>
  <c r="J13" i="30"/>
  <c r="K13" i="30"/>
  <c r="L13" i="30"/>
  <c r="J14" i="30"/>
  <c r="K14" i="30"/>
  <c r="L14" i="30"/>
  <c r="J15" i="30"/>
  <c r="K15" i="30"/>
  <c r="L15" i="30"/>
  <c r="J16" i="30"/>
  <c r="K16" i="30"/>
  <c r="L16" i="30"/>
  <c r="M16" i="30"/>
  <c r="J17" i="30"/>
  <c r="K17" i="30"/>
  <c r="L17" i="30"/>
  <c r="J18" i="30"/>
  <c r="K18" i="30"/>
  <c r="L18" i="30"/>
  <c r="M18" i="30"/>
  <c r="J19" i="30"/>
  <c r="K19" i="30"/>
  <c r="L19" i="30"/>
  <c r="J20" i="30"/>
  <c r="K20" i="30"/>
  <c r="L20" i="30"/>
  <c r="M20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I4" i="30"/>
  <c r="F13" i="30"/>
  <c r="M13" i="30" s="1"/>
  <c r="F5" i="30"/>
  <c r="M5" i="30" s="1"/>
  <c r="F6" i="30"/>
  <c r="F7" i="30"/>
  <c r="M7" i="30" s="1"/>
  <c r="F8" i="30"/>
  <c r="F9" i="30"/>
  <c r="M9" i="30" s="1"/>
  <c r="F10" i="30"/>
  <c r="M10" i="30" s="1"/>
  <c r="F11" i="30"/>
  <c r="M11" i="30" s="1"/>
  <c r="F12" i="30"/>
  <c r="F14" i="30"/>
  <c r="M14" i="30" s="1"/>
  <c r="F15" i="30"/>
  <c r="M15" i="30" s="1"/>
  <c r="F16" i="30"/>
  <c r="F17" i="30"/>
  <c r="M17" i="30" s="1"/>
  <c r="F18" i="30"/>
  <c r="F19" i="30"/>
  <c r="M19" i="30" s="1"/>
  <c r="F20" i="30"/>
  <c r="F4" i="30"/>
  <c r="C712" i="1" l="1"/>
  <c r="C709" i="1"/>
  <c r="C711" i="1"/>
  <c r="C659" i="1"/>
  <c r="C658" i="1"/>
  <c r="C657" i="1"/>
  <c r="C656" i="1"/>
  <c r="C661" i="1"/>
  <c r="C37" i="31"/>
  <c r="C41" i="31"/>
  <c r="C40" i="31"/>
  <c r="C39" i="31"/>
  <c r="C30" i="31"/>
  <c r="C28" i="31"/>
  <c r="C29" i="31"/>
  <c r="C27" i="31"/>
  <c r="J4" i="29"/>
  <c r="K4" i="29"/>
  <c r="L4" i="29"/>
  <c r="J5" i="29"/>
  <c r="K5" i="29"/>
  <c r="L5" i="29"/>
  <c r="J6" i="29"/>
  <c r="K6" i="29"/>
  <c r="L6" i="29"/>
  <c r="J7" i="29"/>
  <c r="K7" i="29"/>
  <c r="L7" i="29"/>
  <c r="J8" i="29"/>
  <c r="K8" i="29"/>
  <c r="L8" i="29"/>
  <c r="J9" i="29"/>
  <c r="K9" i="29"/>
  <c r="L9" i="29"/>
  <c r="J10" i="29"/>
  <c r="K10" i="29"/>
  <c r="L10" i="29"/>
  <c r="J11" i="29"/>
  <c r="K11" i="29"/>
  <c r="L11" i="29"/>
  <c r="J12" i="29"/>
  <c r="K12" i="29"/>
  <c r="L12" i="29"/>
  <c r="J13" i="29"/>
  <c r="K13" i="29"/>
  <c r="L13" i="29"/>
  <c r="J14" i="29"/>
  <c r="K14" i="29"/>
  <c r="L14" i="29"/>
  <c r="J15" i="29"/>
  <c r="K15" i="29"/>
  <c r="L15" i="29"/>
  <c r="J16" i="29"/>
  <c r="K16" i="29"/>
  <c r="L16" i="29"/>
  <c r="J17" i="29"/>
  <c r="K17" i="29"/>
  <c r="L17" i="29"/>
  <c r="J18" i="29"/>
  <c r="K18" i="29"/>
  <c r="L18" i="29"/>
  <c r="J19" i="29"/>
  <c r="K19" i="29"/>
  <c r="L19" i="29"/>
  <c r="J20" i="29"/>
  <c r="K20" i="29"/>
  <c r="L20" i="29"/>
  <c r="J21" i="29"/>
  <c r="K21" i="29"/>
  <c r="L21" i="29"/>
  <c r="J22" i="29"/>
  <c r="K22" i="29"/>
  <c r="L22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4" i="29"/>
  <c r="F14" i="29"/>
  <c r="M14" i="29" s="1"/>
  <c r="F5" i="29"/>
  <c r="M5" i="29" s="1"/>
  <c r="F6" i="29"/>
  <c r="M6" i="29" s="1"/>
  <c r="F7" i="29"/>
  <c r="M7" i="29" s="1"/>
  <c r="F8" i="29"/>
  <c r="M8" i="29" s="1"/>
  <c r="F9" i="29"/>
  <c r="M9" i="29" s="1"/>
  <c r="F10" i="29"/>
  <c r="M10" i="29" s="1"/>
  <c r="F11" i="29"/>
  <c r="M11" i="29" s="1"/>
  <c r="F12" i="29"/>
  <c r="M12" i="29" s="1"/>
  <c r="F13" i="29"/>
  <c r="M13" i="29" s="1"/>
  <c r="F15" i="29"/>
  <c r="M15" i="29" s="1"/>
  <c r="F16" i="29"/>
  <c r="M16" i="29" s="1"/>
  <c r="F17" i="29"/>
  <c r="M17" i="29" s="1"/>
  <c r="F18" i="29"/>
  <c r="M18" i="29" s="1"/>
  <c r="F19" i="29"/>
  <c r="M19" i="29" s="1"/>
  <c r="F20" i="29"/>
  <c r="M20" i="29" s="1"/>
  <c r="F21" i="29"/>
  <c r="M21" i="29" s="1"/>
  <c r="F22" i="29"/>
  <c r="M22" i="29" s="1"/>
  <c r="F4" i="29"/>
  <c r="M4" i="29" s="1"/>
  <c r="J4" i="28"/>
  <c r="K4" i="28"/>
  <c r="L4" i="28"/>
  <c r="M4" i="28"/>
  <c r="J5" i="28"/>
  <c r="K5" i="28"/>
  <c r="L5" i="28"/>
  <c r="J6" i="28"/>
  <c r="K6" i="28"/>
  <c r="L6" i="28"/>
  <c r="J7" i="28"/>
  <c r="K7" i="28"/>
  <c r="L7" i="28"/>
  <c r="J8" i="28"/>
  <c r="K8" i="28"/>
  <c r="L8" i="28"/>
  <c r="J9" i="28"/>
  <c r="K9" i="28"/>
  <c r="L9" i="28"/>
  <c r="J10" i="28"/>
  <c r="K10" i="28"/>
  <c r="L10" i="28"/>
  <c r="I10" i="28"/>
  <c r="I9" i="28"/>
  <c r="I8" i="28"/>
  <c r="I7" i="28"/>
  <c r="I6" i="28"/>
  <c r="I5" i="28"/>
  <c r="I4" i="28"/>
  <c r="F5" i="28"/>
  <c r="M5" i="28" s="1"/>
  <c r="F6" i="28"/>
  <c r="M6" i="28" s="1"/>
  <c r="F7" i="28"/>
  <c r="M7" i="28" s="1"/>
  <c r="F8" i="28"/>
  <c r="M8" i="28" s="1"/>
  <c r="F9" i="28"/>
  <c r="M9" i="28" s="1"/>
  <c r="F10" i="28"/>
  <c r="M10" i="28" s="1"/>
  <c r="F4" i="28"/>
  <c r="J4" i="27"/>
  <c r="K4" i="27"/>
  <c r="L4" i="27"/>
  <c r="J5" i="27"/>
  <c r="K5" i="27"/>
  <c r="L5" i="27"/>
  <c r="J6" i="27"/>
  <c r="K6" i="27"/>
  <c r="L6" i="27"/>
  <c r="J7" i="27"/>
  <c r="K7" i="27"/>
  <c r="L7" i="27"/>
  <c r="J8" i="27"/>
  <c r="K8" i="27"/>
  <c r="L8" i="27"/>
  <c r="J9" i="27"/>
  <c r="K9" i="27"/>
  <c r="L9" i="27"/>
  <c r="J10" i="27"/>
  <c r="K10" i="27"/>
  <c r="L10" i="27"/>
  <c r="J11" i="27"/>
  <c r="K11" i="27"/>
  <c r="L11" i="27"/>
  <c r="J12" i="27"/>
  <c r="K12" i="27"/>
  <c r="L12" i="27"/>
  <c r="I12" i="27"/>
  <c r="I11" i="27"/>
  <c r="I10" i="27"/>
  <c r="I9" i="27"/>
  <c r="I8" i="27"/>
  <c r="I7" i="27"/>
  <c r="I6" i="27"/>
  <c r="I5" i="27"/>
  <c r="I4" i="27"/>
  <c r="F5" i="27"/>
  <c r="M5" i="27" s="1"/>
  <c r="F6" i="27"/>
  <c r="M6" i="27" s="1"/>
  <c r="F7" i="27"/>
  <c r="M7" i="27" s="1"/>
  <c r="F8" i="27"/>
  <c r="M8" i="27" s="1"/>
  <c r="F9" i="27"/>
  <c r="M9" i="27" s="1"/>
  <c r="F10" i="27"/>
  <c r="M10" i="27" s="1"/>
  <c r="F11" i="27"/>
  <c r="M11" i="27" s="1"/>
  <c r="F12" i="27"/>
  <c r="M12" i="27" s="1"/>
  <c r="F4" i="27"/>
  <c r="M4" i="27" s="1"/>
  <c r="I4" i="26"/>
  <c r="J4" i="26"/>
  <c r="I5" i="26"/>
  <c r="J5" i="26"/>
  <c r="I6" i="26"/>
  <c r="J6" i="26"/>
  <c r="K6" i="26"/>
  <c r="I7" i="26"/>
  <c r="J7" i="26"/>
  <c r="K7" i="26"/>
  <c r="I8" i="26"/>
  <c r="J8" i="26"/>
  <c r="H8" i="26"/>
  <c r="H7" i="26"/>
  <c r="H6" i="26"/>
  <c r="H5" i="26"/>
  <c r="H4" i="26"/>
  <c r="E5" i="26"/>
  <c r="K5" i="26" s="1"/>
  <c r="E6" i="26"/>
  <c r="E7" i="26"/>
  <c r="E8" i="26"/>
  <c r="K8" i="26" s="1"/>
  <c r="E4" i="26"/>
  <c r="K4" i="26" s="1"/>
  <c r="J4" i="25"/>
  <c r="K4" i="25"/>
  <c r="L4" i="25"/>
  <c r="J5" i="25"/>
  <c r="K5" i="25"/>
  <c r="L5" i="25"/>
  <c r="M5" i="25"/>
  <c r="J6" i="25"/>
  <c r="K6" i="25"/>
  <c r="L6" i="25"/>
  <c r="J7" i="25"/>
  <c r="K7" i="25"/>
  <c r="L7" i="25"/>
  <c r="M7" i="25"/>
  <c r="J8" i="25"/>
  <c r="K8" i="25"/>
  <c r="L8" i="25"/>
  <c r="J9" i="25"/>
  <c r="K9" i="25"/>
  <c r="L9" i="25"/>
  <c r="M9" i="25"/>
  <c r="J10" i="25"/>
  <c r="K10" i="25"/>
  <c r="L10" i="25"/>
  <c r="J11" i="25"/>
  <c r="K11" i="25"/>
  <c r="L11" i="25"/>
  <c r="M11" i="25"/>
  <c r="I11" i="25"/>
  <c r="I10" i="25"/>
  <c r="I9" i="25"/>
  <c r="I8" i="25"/>
  <c r="I7" i="25"/>
  <c r="I6" i="25"/>
  <c r="I5" i="25"/>
  <c r="I4" i="25"/>
  <c r="F6" i="25"/>
  <c r="M6" i="25" s="1"/>
  <c r="F5" i="25"/>
  <c r="F7" i="25"/>
  <c r="F8" i="25"/>
  <c r="M8" i="25" s="1"/>
  <c r="F9" i="25"/>
  <c r="F10" i="25"/>
  <c r="M10" i="25" s="1"/>
  <c r="F11" i="25"/>
  <c r="F4" i="25"/>
  <c r="M4" i="25" s="1"/>
  <c r="J4" i="24"/>
  <c r="K4" i="24"/>
  <c r="L4" i="24"/>
  <c r="J5" i="24"/>
  <c r="K5" i="24"/>
  <c r="L5" i="24"/>
  <c r="M5" i="24"/>
  <c r="J6" i="24"/>
  <c r="K6" i="24"/>
  <c r="L6" i="24"/>
  <c r="J7" i="24"/>
  <c r="K7" i="24"/>
  <c r="L7" i="24"/>
  <c r="M7" i="24"/>
  <c r="J8" i="24"/>
  <c r="K8" i="24"/>
  <c r="L8" i="24"/>
  <c r="J9" i="24"/>
  <c r="K9" i="24"/>
  <c r="L9" i="24"/>
  <c r="M9" i="24"/>
  <c r="J10" i="24"/>
  <c r="K10" i="24"/>
  <c r="L10" i="24"/>
  <c r="J11" i="24"/>
  <c r="K11" i="24"/>
  <c r="L11" i="24"/>
  <c r="M11" i="24"/>
  <c r="J12" i="24"/>
  <c r="K12" i="24"/>
  <c r="L12" i="24"/>
  <c r="J13" i="24"/>
  <c r="K13" i="24"/>
  <c r="L13" i="24"/>
  <c r="M13" i="24"/>
  <c r="J14" i="24"/>
  <c r="K14" i="24"/>
  <c r="L14" i="24"/>
  <c r="J15" i="24"/>
  <c r="K15" i="24"/>
  <c r="L15" i="24"/>
  <c r="M15" i="24"/>
  <c r="I15" i="24"/>
  <c r="I14" i="24"/>
  <c r="I13" i="24"/>
  <c r="I12" i="24"/>
  <c r="I11" i="24"/>
  <c r="I10" i="24"/>
  <c r="I9" i="24"/>
  <c r="I8" i="24"/>
  <c r="I7" i="24"/>
  <c r="I6" i="24"/>
  <c r="I5" i="24"/>
  <c r="I4" i="24"/>
  <c r="F5" i="24"/>
  <c r="F6" i="24"/>
  <c r="M6" i="24" s="1"/>
  <c r="F7" i="24"/>
  <c r="F8" i="24"/>
  <c r="M8" i="24" s="1"/>
  <c r="F9" i="24"/>
  <c r="F10" i="24"/>
  <c r="M10" i="24" s="1"/>
  <c r="F11" i="24"/>
  <c r="F12" i="24"/>
  <c r="M12" i="24" s="1"/>
  <c r="F13" i="24"/>
  <c r="F14" i="24"/>
  <c r="M14" i="24" s="1"/>
  <c r="F15" i="24"/>
  <c r="F4" i="24"/>
  <c r="M4" i="24" s="1"/>
  <c r="I4" i="23"/>
  <c r="J4" i="23"/>
  <c r="K4" i="23"/>
  <c r="I5" i="23"/>
  <c r="J5" i="23"/>
  <c r="I6" i="23"/>
  <c r="J6" i="23"/>
  <c r="H6" i="23"/>
  <c r="H5" i="23"/>
  <c r="H4" i="23"/>
  <c r="E5" i="23"/>
  <c r="K5" i="23" s="1"/>
  <c r="E6" i="23"/>
  <c r="K6" i="23" s="1"/>
  <c r="E4" i="23"/>
  <c r="I4" i="22"/>
  <c r="J4" i="22"/>
  <c r="I5" i="22"/>
  <c r="J5" i="22"/>
  <c r="I6" i="22"/>
  <c r="J6" i="22"/>
  <c r="K6" i="22"/>
  <c r="I7" i="22"/>
  <c r="J7" i="22"/>
  <c r="K7" i="22"/>
  <c r="I8" i="22"/>
  <c r="J8" i="22"/>
  <c r="I9" i="22"/>
  <c r="J9" i="22"/>
  <c r="I10" i="22"/>
  <c r="J10" i="22"/>
  <c r="I11" i="22"/>
  <c r="J11" i="22"/>
  <c r="I12" i="22"/>
  <c r="J12" i="22"/>
  <c r="I13" i="22"/>
  <c r="J13" i="22"/>
  <c r="I14" i="22"/>
  <c r="J14" i="22"/>
  <c r="K14" i="22"/>
  <c r="H14" i="22"/>
  <c r="H13" i="22"/>
  <c r="H12" i="22"/>
  <c r="H11" i="22"/>
  <c r="H10" i="22"/>
  <c r="H9" i="22"/>
  <c r="H8" i="22"/>
  <c r="H7" i="22"/>
  <c r="H6" i="22"/>
  <c r="H5" i="22"/>
  <c r="H4" i="22"/>
  <c r="E5" i="22"/>
  <c r="K5" i="22" s="1"/>
  <c r="E6" i="22"/>
  <c r="E7" i="22"/>
  <c r="E8" i="22"/>
  <c r="K8" i="22" s="1"/>
  <c r="E9" i="22"/>
  <c r="K9" i="22" s="1"/>
  <c r="E10" i="22"/>
  <c r="K10" i="22" s="1"/>
  <c r="E11" i="22"/>
  <c r="K11" i="22" s="1"/>
  <c r="E12" i="22"/>
  <c r="K12" i="22" s="1"/>
  <c r="E13" i="22"/>
  <c r="K13" i="22" s="1"/>
  <c r="E14" i="22"/>
  <c r="E4" i="22"/>
  <c r="K4" i="22" s="1"/>
  <c r="L3" i="21"/>
  <c r="M3" i="21"/>
  <c r="N3" i="21"/>
  <c r="O3" i="21"/>
  <c r="P3" i="21"/>
  <c r="L4" i="21"/>
  <c r="M4" i="21"/>
  <c r="N4" i="21"/>
  <c r="O4" i="21"/>
  <c r="P4" i="21"/>
  <c r="L5" i="21"/>
  <c r="M5" i="21"/>
  <c r="N5" i="21"/>
  <c r="O5" i="21"/>
  <c r="P5" i="21"/>
  <c r="Q5" i="21"/>
  <c r="L6" i="21"/>
  <c r="M6" i="21"/>
  <c r="N6" i="21"/>
  <c r="O6" i="21"/>
  <c r="P6" i="21"/>
  <c r="L7" i="21"/>
  <c r="M7" i="21"/>
  <c r="N7" i="21"/>
  <c r="O7" i="21"/>
  <c r="P7" i="21"/>
  <c r="L8" i="21"/>
  <c r="M8" i="21"/>
  <c r="N8" i="21"/>
  <c r="O8" i="21"/>
  <c r="P8" i="21"/>
  <c r="L9" i="21"/>
  <c r="M9" i="21"/>
  <c r="N9" i="21"/>
  <c r="O9" i="21"/>
  <c r="P9" i="21"/>
  <c r="L10" i="21"/>
  <c r="M10" i="21"/>
  <c r="N10" i="21"/>
  <c r="O10" i="21"/>
  <c r="P10" i="21"/>
  <c r="L11" i="21"/>
  <c r="M11" i="21"/>
  <c r="N11" i="21"/>
  <c r="O11" i="21"/>
  <c r="P11" i="21"/>
  <c r="L12" i="21"/>
  <c r="M12" i="21"/>
  <c r="N12" i="21"/>
  <c r="O12" i="21"/>
  <c r="P12" i="21"/>
  <c r="L13" i="21"/>
  <c r="M13" i="21"/>
  <c r="N13" i="21"/>
  <c r="O13" i="21"/>
  <c r="P13" i="21"/>
  <c r="Q13" i="21"/>
  <c r="L14" i="21"/>
  <c r="M14" i="21"/>
  <c r="N14" i="21"/>
  <c r="O14" i="21"/>
  <c r="P14" i="21"/>
  <c r="K14" i="21"/>
  <c r="K13" i="21"/>
  <c r="K12" i="21"/>
  <c r="K11" i="21"/>
  <c r="K10" i="21"/>
  <c r="K9" i="21"/>
  <c r="K8" i="21"/>
  <c r="K7" i="21"/>
  <c r="K6" i="21"/>
  <c r="K5" i="21"/>
  <c r="K4" i="21"/>
  <c r="K3" i="21"/>
  <c r="H5" i="21"/>
  <c r="H4" i="21"/>
  <c r="Q4" i="21" s="1"/>
  <c r="H6" i="21"/>
  <c r="Q6" i="21" s="1"/>
  <c r="H7" i="21"/>
  <c r="Q7" i="21" s="1"/>
  <c r="H8" i="21"/>
  <c r="Q8" i="21" s="1"/>
  <c r="H9" i="21"/>
  <c r="Q9" i="21" s="1"/>
  <c r="H10" i="21"/>
  <c r="Q10" i="21" s="1"/>
  <c r="H11" i="21"/>
  <c r="Q11" i="21" s="1"/>
  <c r="H12" i="21"/>
  <c r="Q12" i="21" s="1"/>
  <c r="H13" i="21"/>
  <c r="H14" i="21"/>
  <c r="Q14" i="21" s="1"/>
  <c r="H3" i="21"/>
  <c r="Q3" i="21" s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58" i="1"/>
  <c r="F381" i="1"/>
  <c r="G381" i="1" s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58" i="1"/>
  <c r="D381" i="1"/>
  <c r="E381" i="1" s="1"/>
  <c r="B381" i="1"/>
  <c r="C381" i="1" s="1"/>
  <c r="C380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58" i="1"/>
  <c r="K4" i="20"/>
  <c r="L4" i="20"/>
  <c r="M4" i="20"/>
  <c r="N4" i="20"/>
  <c r="K5" i="20"/>
  <c r="L5" i="20"/>
  <c r="M5" i="20"/>
  <c r="N5" i="20"/>
  <c r="O5" i="20"/>
  <c r="K6" i="20"/>
  <c r="L6" i="20"/>
  <c r="M6" i="20"/>
  <c r="N6" i="20"/>
  <c r="J6" i="20"/>
  <c r="J5" i="20"/>
  <c r="J4" i="20"/>
  <c r="G6" i="20"/>
  <c r="O6" i="20" s="1"/>
  <c r="G5" i="20"/>
  <c r="G4" i="20"/>
  <c r="O4" i="20" s="1"/>
  <c r="N3" i="19"/>
  <c r="O3" i="19"/>
  <c r="P3" i="19"/>
  <c r="Q3" i="19"/>
  <c r="R3" i="19"/>
  <c r="S3" i="19"/>
  <c r="N4" i="19"/>
  <c r="O4" i="19"/>
  <c r="P4" i="19"/>
  <c r="Q4" i="19"/>
  <c r="R4" i="19"/>
  <c r="S4" i="19"/>
  <c r="N5" i="19"/>
  <c r="O5" i="19"/>
  <c r="P5" i="19"/>
  <c r="Q5" i="19"/>
  <c r="R5" i="19"/>
  <c r="S5" i="19"/>
  <c r="T5" i="19"/>
  <c r="N6" i="19"/>
  <c r="O6" i="19"/>
  <c r="P6" i="19"/>
  <c r="Q6" i="19"/>
  <c r="R6" i="19"/>
  <c r="S6" i="19"/>
  <c r="M6" i="19"/>
  <c r="M5" i="19"/>
  <c r="M4" i="19"/>
  <c r="M3" i="19"/>
  <c r="I6" i="19"/>
  <c r="T6" i="19" s="1"/>
  <c r="I5" i="19"/>
  <c r="I4" i="19"/>
  <c r="T4" i="19" s="1"/>
  <c r="I3" i="19"/>
  <c r="T3" i="19" s="1"/>
  <c r="K4" i="18"/>
  <c r="L4" i="18"/>
  <c r="M4" i="18"/>
  <c r="K5" i="18"/>
  <c r="L5" i="18"/>
  <c r="M5" i="18"/>
  <c r="K6" i="18"/>
  <c r="L6" i="18"/>
  <c r="M6" i="18"/>
  <c r="K7" i="18"/>
  <c r="L7" i="18"/>
  <c r="M7" i="18"/>
  <c r="K8" i="18"/>
  <c r="L8" i="18"/>
  <c r="M8" i="18"/>
  <c r="N8" i="18"/>
  <c r="K9" i="18"/>
  <c r="L9" i="18"/>
  <c r="M9" i="18"/>
  <c r="K10" i="18"/>
  <c r="L10" i="18"/>
  <c r="M10" i="18"/>
  <c r="N10" i="18"/>
  <c r="K11" i="18"/>
  <c r="L11" i="18"/>
  <c r="M11" i="18"/>
  <c r="K12" i="18"/>
  <c r="L12" i="18"/>
  <c r="M12" i="18"/>
  <c r="N12" i="18"/>
  <c r="K13" i="18"/>
  <c r="L13" i="18"/>
  <c r="M13" i="18"/>
  <c r="J13" i="18"/>
  <c r="J12" i="18"/>
  <c r="J11" i="18"/>
  <c r="J10" i="18"/>
  <c r="J9" i="18"/>
  <c r="J8" i="18"/>
  <c r="J7" i="18"/>
  <c r="J6" i="18"/>
  <c r="J5" i="18"/>
  <c r="J4" i="18"/>
  <c r="F5" i="18"/>
  <c r="N5" i="18" s="1"/>
  <c r="F6" i="18"/>
  <c r="N6" i="18" s="1"/>
  <c r="F7" i="18"/>
  <c r="N7" i="18" s="1"/>
  <c r="F8" i="18"/>
  <c r="F9" i="18"/>
  <c r="N9" i="18" s="1"/>
  <c r="F10" i="18"/>
  <c r="F11" i="18"/>
  <c r="N11" i="18" s="1"/>
  <c r="F12" i="18"/>
  <c r="F13" i="18"/>
  <c r="N13" i="18" s="1"/>
  <c r="F4" i="18"/>
  <c r="N4" i="18" s="1"/>
  <c r="J4" i="17"/>
  <c r="K4" i="17"/>
  <c r="J5" i="17"/>
  <c r="K5" i="17"/>
  <c r="J6" i="17"/>
  <c r="K6" i="17"/>
  <c r="J7" i="17"/>
  <c r="K7" i="17"/>
  <c r="J8" i="17"/>
  <c r="K8" i="17"/>
  <c r="I8" i="17"/>
  <c r="I7" i="17"/>
  <c r="I6" i="17"/>
  <c r="I5" i="17"/>
  <c r="I4" i="17"/>
  <c r="E8" i="17"/>
  <c r="L8" i="17" s="1"/>
  <c r="E7" i="17"/>
  <c r="L7" i="17" s="1"/>
  <c r="E6" i="17"/>
  <c r="L6" i="17" s="1"/>
  <c r="E5" i="17"/>
  <c r="L5" i="17" s="1"/>
  <c r="E4" i="17"/>
  <c r="L4" i="17" s="1"/>
  <c r="B312" i="1"/>
  <c r="C295" i="1" s="1"/>
  <c r="B287" i="1"/>
  <c r="C283" i="1" s="1"/>
  <c r="K3" i="16"/>
  <c r="L3" i="16"/>
  <c r="M3" i="16"/>
  <c r="N3" i="16"/>
  <c r="O3" i="16"/>
  <c r="K4" i="16"/>
  <c r="L4" i="16"/>
  <c r="M4" i="16"/>
  <c r="N4" i="16"/>
  <c r="O4" i="16"/>
  <c r="K5" i="16"/>
  <c r="L5" i="16"/>
  <c r="M5" i="16"/>
  <c r="N5" i="16"/>
  <c r="K6" i="16"/>
  <c r="L6" i="16"/>
  <c r="M6" i="16"/>
  <c r="N6" i="16"/>
  <c r="J6" i="16"/>
  <c r="J5" i="16"/>
  <c r="J4" i="16"/>
  <c r="J3" i="16"/>
  <c r="G4" i="16"/>
  <c r="G5" i="16"/>
  <c r="O5" i="16" s="1"/>
  <c r="G6" i="16"/>
  <c r="O6" i="16" s="1"/>
  <c r="G3" i="16"/>
  <c r="I3" i="15"/>
  <c r="I4" i="15"/>
  <c r="I5" i="15"/>
  <c r="J5" i="15"/>
  <c r="I6" i="15"/>
  <c r="I7" i="15"/>
  <c r="I8" i="15"/>
  <c r="I9" i="15"/>
  <c r="I10" i="15"/>
  <c r="H10" i="15"/>
  <c r="H9" i="15"/>
  <c r="H8" i="15"/>
  <c r="H7" i="15"/>
  <c r="H6" i="15"/>
  <c r="H5" i="15"/>
  <c r="H4" i="15"/>
  <c r="H3" i="15"/>
  <c r="D4" i="15"/>
  <c r="J4" i="15" s="1"/>
  <c r="D5" i="15"/>
  <c r="D6" i="15"/>
  <c r="J6" i="15" s="1"/>
  <c r="D7" i="15"/>
  <c r="J7" i="15" s="1"/>
  <c r="D8" i="15"/>
  <c r="J8" i="15" s="1"/>
  <c r="D9" i="15"/>
  <c r="J9" i="15" s="1"/>
  <c r="D10" i="15"/>
  <c r="J10" i="15" s="1"/>
  <c r="D3" i="15"/>
  <c r="J3" i="15" s="1"/>
  <c r="H3" i="14"/>
  <c r="H4" i="14"/>
  <c r="H5" i="14"/>
  <c r="I5" i="14"/>
  <c r="H6" i="14"/>
  <c r="H7" i="14"/>
  <c r="H8" i="14"/>
  <c r="H9" i="14"/>
  <c r="H10" i="14"/>
  <c r="H11" i="14"/>
  <c r="H12" i="14"/>
  <c r="H13" i="14"/>
  <c r="I13" i="14"/>
  <c r="H14" i="14"/>
  <c r="H15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D15" i="14"/>
  <c r="I15" i="14" s="1"/>
  <c r="D14" i="14"/>
  <c r="I14" i="14" s="1"/>
  <c r="D13" i="14"/>
  <c r="D12" i="14"/>
  <c r="I12" i="14" s="1"/>
  <c r="D11" i="14"/>
  <c r="I11" i="14" s="1"/>
  <c r="D10" i="14"/>
  <c r="I10" i="14" s="1"/>
  <c r="D9" i="14"/>
  <c r="I9" i="14" s="1"/>
  <c r="D4" i="14"/>
  <c r="I4" i="14" s="1"/>
  <c r="D5" i="14"/>
  <c r="D6" i="14"/>
  <c r="I6" i="14" s="1"/>
  <c r="D7" i="14"/>
  <c r="I7" i="14" s="1"/>
  <c r="D8" i="14"/>
  <c r="I8" i="14" s="1"/>
  <c r="D3" i="14"/>
  <c r="I3" i="14" s="1"/>
  <c r="K63" i="13"/>
  <c r="L63" i="13"/>
  <c r="M63" i="13"/>
  <c r="K64" i="13"/>
  <c r="L64" i="13"/>
  <c r="M64" i="13"/>
  <c r="K65" i="13"/>
  <c r="L65" i="13"/>
  <c r="M65" i="13"/>
  <c r="K66" i="13"/>
  <c r="L66" i="13"/>
  <c r="M66" i="13"/>
  <c r="K67" i="13"/>
  <c r="L67" i="13"/>
  <c r="M67" i="13"/>
  <c r="K68" i="13"/>
  <c r="L68" i="13"/>
  <c r="M68" i="13"/>
  <c r="K69" i="13"/>
  <c r="L69" i="13"/>
  <c r="M69" i="13"/>
  <c r="K70" i="13"/>
  <c r="L70" i="13"/>
  <c r="M70" i="13"/>
  <c r="K71" i="13"/>
  <c r="L71" i="13"/>
  <c r="M71" i="13"/>
  <c r="K72" i="13"/>
  <c r="L72" i="13"/>
  <c r="M72" i="13"/>
  <c r="J72" i="13"/>
  <c r="J71" i="13"/>
  <c r="J70" i="13"/>
  <c r="J69" i="13"/>
  <c r="J68" i="13"/>
  <c r="J67" i="13"/>
  <c r="J66" i="13"/>
  <c r="J65" i="13"/>
  <c r="J64" i="13"/>
  <c r="J63" i="13"/>
  <c r="F64" i="13"/>
  <c r="N64" i="13" s="1"/>
  <c r="F65" i="13"/>
  <c r="N65" i="13" s="1"/>
  <c r="F66" i="13"/>
  <c r="N66" i="13" s="1"/>
  <c r="F67" i="13"/>
  <c r="N67" i="13" s="1"/>
  <c r="F68" i="13"/>
  <c r="N68" i="13" s="1"/>
  <c r="F69" i="13"/>
  <c r="N69" i="13" s="1"/>
  <c r="F70" i="13"/>
  <c r="N70" i="13" s="1"/>
  <c r="F71" i="13"/>
  <c r="N71" i="13" s="1"/>
  <c r="F72" i="13"/>
  <c r="N72" i="13" s="1"/>
  <c r="F63" i="13"/>
  <c r="N63" i="13" s="1"/>
  <c r="C51" i="13"/>
  <c r="C52" i="13"/>
  <c r="C53" i="13"/>
  <c r="C54" i="13"/>
  <c r="C55" i="13"/>
  <c r="C56" i="13"/>
  <c r="C57" i="13"/>
  <c r="C50" i="13"/>
  <c r="B58" i="13"/>
  <c r="C58" i="13" s="1"/>
  <c r="K34" i="13"/>
  <c r="K35" i="13"/>
  <c r="K36" i="13"/>
  <c r="K37" i="13"/>
  <c r="K38" i="13"/>
  <c r="K39" i="13"/>
  <c r="K40" i="13"/>
  <c r="K41" i="13"/>
  <c r="K42" i="13"/>
  <c r="K43" i="13"/>
  <c r="K44" i="13"/>
  <c r="K45" i="13"/>
  <c r="K33" i="13"/>
  <c r="J45" i="13"/>
  <c r="K18" i="13"/>
  <c r="K19" i="13"/>
  <c r="K20" i="13"/>
  <c r="K21" i="13"/>
  <c r="K22" i="13"/>
  <c r="K23" i="13"/>
  <c r="K24" i="13"/>
  <c r="K25" i="13"/>
  <c r="K26" i="13"/>
  <c r="K27" i="13"/>
  <c r="K28" i="13"/>
  <c r="K17" i="13"/>
  <c r="J29" i="13"/>
  <c r="K29" i="13" s="1"/>
  <c r="C34" i="13"/>
  <c r="C35" i="13"/>
  <c r="C36" i="13"/>
  <c r="C37" i="13"/>
  <c r="C38" i="13"/>
  <c r="C39" i="13"/>
  <c r="C40" i="13"/>
  <c r="C41" i="13"/>
  <c r="C42" i="13"/>
  <c r="C43" i="13"/>
  <c r="C44" i="13"/>
  <c r="C33" i="13"/>
  <c r="B45" i="13"/>
  <c r="C45" i="13" s="1"/>
  <c r="C18" i="13"/>
  <c r="C19" i="13"/>
  <c r="C20" i="13"/>
  <c r="C21" i="13"/>
  <c r="C22" i="13"/>
  <c r="C23" i="13"/>
  <c r="C24" i="13"/>
  <c r="C25" i="13"/>
  <c r="C26" i="13"/>
  <c r="C27" i="13"/>
  <c r="C28" i="13"/>
  <c r="C17" i="13"/>
  <c r="B29" i="13"/>
  <c r="C29" i="13" s="1"/>
  <c r="K5" i="13"/>
  <c r="L5" i="13"/>
  <c r="M5" i="13"/>
  <c r="N5" i="13"/>
  <c r="K6" i="13"/>
  <c r="L6" i="13"/>
  <c r="M6" i="13"/>
  <c r="N6" i="13"/>
  <c r="K7" i="13"/>
  <c r="L7" i="13"/>
  <c r="M7" i="13"/>
  <c r="N7" i="13"/>
  <c r="O7" i="13"/>
  <c r="K8" i="13"/>
  <c r="L8" i="13"/>
  <c r="M8" i="13"/>
  <c r="N8" i="13"/>
  <c r="K9" i="13"/>
  <c r="L9" i="13"/>
  <c r="M9" i="13"/>
  <c r="N9" i="13"/>
  <c r="K10" i="13"/>
  <c r="L10" i="13"/>
  <c r="M10" i="13"/>
  <c r="N10" i="13"/>
  <c r="J10" i="13"/>
  <c r="J9" i="13"/>
  <c r="J8" i="13"/>
  <c r="J7" i="13"/>
  <c r="J6" i="13"/>
  <c r="J5" i="13"/>
  <c r="G10" i="13"/>
  <c r="O10" i="13" s="1"/>
  <c r="G9" i="13"/>
  <c r="O9" i="13" s="1"/>
  <c r="G8" i="13"/>
  <c r="O8" i="13" s="1"/>
  <c r="G7" i="13"/>
  <c r="G6" i="13"/>
  <c r="O6" i="13" s="1"/>
  <c r="G5" i="13"/>
  <c r="O5" i="13" s="1"/>
  <c r="B49" i="1"/>
  <c r="C47" i="1" s="1"/>
  <c r="C209" i="1"/>
  <c r="C208" i="1"/>
  <c r="B210" i="1"/>
  <c r="C210" i="1" s="1"/>
  <c r="B204" i="1"/>
  <c r="C202" i="1" s="1"/>
  <c r="B154" i="1"/>
  <c r="C150" i="1" s="1"/>
  <c r="B43" i="1"/>
  <c r="C41" i="1" s="1"/>
  <c r="B27" i="1"/>
  <c r="C23" i="1" s="1"/>
  <c r="C36" i="11"/>
  <c r="C37" i="11"/>
  <c r="C35" i="11"/>
  <c r="B39" i="11"/>
  <c r="C38" i="11" s="1"/>
  <c r="L29" i="11"/>
  <c r="M29" i="11"/>
  <c r="N29" i="11"/>
  <c r="O29" i="11"/>
  <c r="L30" i="11"/>
  <c r="M30" i="11"/>
  <c r="N30" i="11"/>
  <c r="O30" i="11"/>
  <c r="P30" i="11"/>
  <c r="K30" i="11"/>
  <c r="K29" i="11"/>
  <c r="G30" i="11"/>
  <c r="G29" i="11"/>
  <c r="P29" i="11" s="1"/>
  <c r="L20" i="11"/>
  <c r="M20" i="11"/>
  <c r="N20" i="11"/>
  <c r="O20" i="11"/>
  <c r="P20" i="11"/>
  <c r="L21" i="11"/>
  <c r="M21" i="11"/>
  <c r="N21" i="11"/>
  <c r="O21" i="11"/>
  <c r="L22" i="11"/>
  <c r="M22" i="11"/>
  <c r="N22" i="11"/>
  <c r="O22" i="11"/>
  <c r="L23" i="11"/>
  <c r="M23" i="11"/>
  <c r="N23" i="11"/>
  <c r="O23" i="11"/>
  <c r="L24" i="11"/>
  <c r="M24" i="11"/>
  <c r="N24" i="11"/>
  <c r="O24" i="11"/>
  <c r="P24" i="11"/>
  <c r="K24" i="11"/>
  <c r="K23" i="11"/>
  <c r="K22" i="11"/>
  <c r="K21" i="11"/>
  <c r="K20" i="11"/>
  <c r="G21" i="11"/>
  <c r="P21" i="11" s="1"/>
  <c r="G22" i="11"/>
  <c r="P22" i="11" s="1"/>
  <c r="G23" i="11"/>
  <c r="P23" i="11" s="1"/>
  <c r="G24" i="11"/>
  <c r="G20" i="11"/>
  <c r="C39" i="11" l="1"/>
  <c r="C282" i="1"/>
  <c r="C287" i="1"/>
  <c r="C286" i="1"/>
  <c r="C285" i="1"/>
  <c r="C284" i="1"/>
  <c r="C49" i="1"/>
  <c r="C291" i="1"/>
  <c r="C307" i="1"/>
  <c r="C302" i="1"/>
  <c r="C301" i="1"/>
  <c r="C300" i="1"/>
  <c r="C299" i="1"/>
  <c r="C294" i="1"/>
  <c r="C308" i="1"/>
  <c r="C310" i="1"/>
  <c r="C309" i="1"/>
  <c r="C293" i="1"/>
  <c r="C306" i="1"/>
  <c r="C298" i="1"/>
  <c r="C292" i="1"/>
  <c r="C305" i="1"/>
  <c r="C297" i="1"/>
  <c r="C312" i="1"/>
  <c r="C304" i="1"/>
  <c r="C296" i="1"/>
  <c r="C311" i="1"/>
  <c r="C303" i="1"/>
  <c r="C154" i="1"/>
  <c r="C204" i="1"/>
  <c r="C48" i="1"/>
  <c r="C203" i="1"/>
  <c r="C43" i="1"/>
  <c r="C153" i="1"/>
  <c r="C152" i="1"/>
  <c r="C151" i="1"/>
  <c r="C42" i="1"/>
  <c r="C27" i="1"/>
  <c r="C22" i="1"/>
  <c r="C26" i="1"/>
  <c r="C25" i="1"/>
  <c r="C24" i="1"/>
  <c r="C4" i="11"/>
  <c r="C5" i="11"/>
  <c r="C6" i="11"/>
  <c r="C7" i="11"/>
  <c r="C8" i="11"/>
  <c r="C9" i="11"/>
  <c r="C10" i="11"/>
  <c r="C11" i="11"/>
  <c r="C12" i="11"/>
  <c r="C13" i="11"/>
  <c r="C14" i="11"/>
  <c r="C3" i="11"/>
  <c r="B14" i="11"/>
  <c r="K4" i="10"/>
  <c r="L4" i="10"/>
  <c r="M4" i="10"/>
  <c r="K5" i="10"/>
  <c r="L5" i="10"/>
  <c r="M5" i="10"/>
  <c r="K6" i="10"/>
  <c r="L6" i="10"/>
  <c r="M6" i="10"/>
  <c r="J6" i="10"/>
  <c r="J5" i="10"/>
  <c r="J4" i="10"/>
  <c r="F6" i="10"/>
  <c r="N6" i="10" s="1"/>
  <c r="F5" i="10"/>
  <c r="N5" i="10" s="1"/>
  <c r="F4" i="10"/>
  <c r="N4" i="10" s="1"/>
  <c r="C145" i="1"/>
  <c r="C144" i="1"/>
  <c r="B146" i="1"/>
  <c r="C146" i="1" s="1"/>
  <c r="C89" i="7"/>
  <c r="C90" i="7"/>
  <c r="C91" i="7"/>
  <c r="C92" i="7"/>
  <c r="C88" i="7"/>
  <c r="B93" i="7"/>
  <c r="C93" i="7" s="1"/>
  <c r="D51" i="7"/>
  <c r="D52" i="7"/>
  <c r="D53" i="7"/>
  <c r="D54" i="7"/>
  <c r="D55" i="7"/>
  <c r="D56" i="7"/>
  <c r="D50" i="7"/>
  <c r="C79" i="7"/>
  <c r="C80" i="7"/>
  <c r="C81" i="7"/>
  <c r="C82" i="7"/>
  <c r="C78" i="7"/>
  <c r="B83" i="7"/>
  <c r="C83" i="7" s="1"/>
  <c r="J62" i="7"/>
  <c r="K62" i="7"/>
  <c r="L62" i="7"/>
  <c r="J63" i="7"/>
  <c r="K63" i="7"/>
  <c r="L63" i="7"/>
  <c r="J64" i="7"/>
  <c r="K64" i="7"/>
  <c r="L64" i="7"/>
  <c r="J65" i="7"/>
  <c r="K65" i="7"/>
  <c r="L65" i="7"/>
  <c r="J66" i="7"/>
  <c r="K66" i="7"/>
  <c r="L66" i="7"/>
  <c r="J67" i="7"/>
  <c r="K67" i="7"/>
  <c r="L67" i="7"/>
  <c r="J68" i="7"/>
  <c r="K68" i="7"/>
  <c r="L68" i="7"/>
  <c r="J69" i="7"/>
  <c r="K69" i="7"/>
  <c r="L69" i="7"/>
  <c r="J70" i="7"/>
  <c r="K70" i="7"/>
  <c r="L70" i="7"/>
  <c r="J71" i="7"/>
  <c r="K71" i="7"/>
  <c r="L71" i="7"/>
  <c r="J72" i="7"/>
  <c r="K72" i="7"/>
  <c r="L72" i="7"/>
  <c r="J73" i="7"/>
  <c r="K73" i="7"/>
  <c r="L73" i="7"/>
  <c r="I73" i="7"/>
  <c r="I72" i="7"/>
  <c r="I71" i="7"/>
  <c r="I70" i="7"/>
  <c r="I69" i="7"/>
  <c r="I68" i="7"/>
  <c r="I67" i="7"/>
  <c r="I66" i="7"/>
  <c r="I65" i="7"/>
  <c r="I64" i="7"/>
  <c r="I63" i="7"/>
  <c r="I62" i="7"/>
  <c r="J61" i="7"/>
  <c r="K61" i="7"/>
  <c r="L61" i="7"/>
  <c r="I61" i="7"/>
  <c r="F62" i="7"/>
  <c r="F63" i="7"/>
  <c r="F64" i="7"/>
  <c r="F65" i="7"/>
  <c r="F66" i="7"/>
  <c r="F67" i="7"/>
  <c r="F68" i="7"/>
  <c r="F69" i="7"/>
  <c r="F70" i="7"/>
  <c r="F71" i="7"/>
  <c r="F72" i="7"/>
  <c r="F73" i="7"/>
  <c r="F61" i="7"/>
  <c r="F44" i="7"/>
  <c r="J44" i="7" s="1"/>
  <c r="F43" i="7"/>
  <c r="J43" i="7" s="1"/>
  <c r="F42" i="7"/>
  <c r="J42" i="7" s="1"/>
  <c r="F41" i="7"/>
  <c r="J41" i="7" s="1"/>
  <c r="F40" i="7"/>
  <c r="J40" i="7" s="1"/>
  <c r="F39" i="7"/>
  <c r="J39" i="7" s="1"/>
  <c r="F38" i="7"/>
  <c r="J38" i="7" s="1"/>
  <c r="B33" i="7"/>
  <c r="C33" i="7" s="1"/>
  <c r="I38" i="7" l="1"/>
  <c r="L44" i="7"/>
  <c r="K44" i="7"/>
  <c r="I44" i="7"/>
  <c r="L40" i="7"/>
  <c r="I42" i="7"/>
  <c r="L42" i="7"/>
  <c r="K42" i="7"/>
  <c r="I43" i="7"/>
  <c r="I40" i="7"/>
  <c r="L43" i="7"/>
  <c r="K40" i="7"/>
  <c r="L38" i="7"/>
  <c r="K38" i="7"/>
  <c r="I39" i="7"/>
  <c r="L41" i="7"/>
  <c r="K39" i="7"/>
  <c r="K41" i="7"/>
  <c r="K43" i="7"/>
  <c r="I41" i="7"/>
  <c r="L39" i="7"/>
  <c r="C31" i="7"/>
  <c r="C32" i="7"/>
  <c r="B26" i="7"/>
  <c r="C26" i="7" s="1"/>
  <c r="B16" i="7"/>
  <c r="C15" i="7" s="1"/>
  <c r="B8" i="7"/>
  <c r="C7" i="7" s="1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13" i="5"/>
  <c r="B7" i="5"/>
  <c r="C6" i="5" s="1"/>
  <c r="E28" i="3"/>
  <c r="D29" i="3"/>
  <c r="E29" i="3" s="1"/>
  <c r="D28" i="3"/>
  <c r="D34" i="2"/>
  <c r="E34" i="2" s="1"/>
  <c r="D51" i="2"/>
  <c r="E51" i="2" s="1"/>
  <c r="F6" i="1"/>
  <c r="M44" i="7" l="1"/>
  <c r="M43" i="7"/>
  <c r="M42" i="7"/>
  <c r="M38" i="7"/>
  <c r="M40" i="7"/>
  <c r="C22" i="7"/>
  <c r="M41" i="7"/>
  <c r="M39" i="7"/>
  <c r="C25" i="7"/>
  <c r="C24" i="7"/>
  <c r="C23" i="7"/>
  <c r="C6" i="7"/>
  <c r="C8" i="7"/>
  <c r="C21" i="7"/>
  <c r="C14" i="7"/>
  <c r="C16" i="7"/>
  <c r="C5" i="5"/>
  <c r="C7" i="5"/>
  <c r="C4" i="5"/>
</calcChain>
</file>

<file path=xl/sharedStrings.xml><?xml version="1.0" encoding="utf-8"?>
<sst xmlns="http://schemas.openxmlformats.org/spreadsheetml/2006/main" count="2632" uniqueCount="839">
  <si>
    <t>Overall Web Response Rate</t>
  </si>
  <si>
    <t>University of Nebraska at Omaha</t>
  </si>
  <si>
    <t>Number of Faculty</t>
  </si>
  <si>
    <t>Partial Responses</t>
  </si>
  <si>
    <t>Returns Submitted</t>
  </si>
  <si>
    <t>Returns Opted Out</t>
  </si>
  <si>
    <t>Response Rate</t>
  </si>
  <si>
    <t>HERI Faculty Survey Fall 2016</t>
  </si>
  <si>
    <t>1. In what year did you receive your first academic appointment?</t>
  </si>
  <si>
    <t>2. In what year were you first appointed at this institution?</t>
  </si>
  <si>
    <t>Frequency</t>
  </si>
  <si>
    <t>1970</t>
  </si>
  <si>
    <t>1973</t>
  </si>
  <si>
    <t>1974</t>
  </si>
  <si>
    <t>1975</t>
  </si>
  <si>
    <t>1976</t>
  </si>
  <si>
    <t>1978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</si>
  <si>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</si>
  <si>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</si>
  <si>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</si>
  <si>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</si>
  <si>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</si>
  <si>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</si>
  <si>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</si>
  <si>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</si>
  <si>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</si>
  <si>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</si>
  <si>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</si>
  <si>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</si>
  <si>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</si>
  <si>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</si>
  <si>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</si>
  <si>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</si>
  <si>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</si>
  <si>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</si>
  <si>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</si>
  <si>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</si>
  <si>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</si>
  <si>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</si>
  <si>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</si>
  <si>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</si>
  <si>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</si>
  <si>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</si>
  <si>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</si>
  <si>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</si>
  <si>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</si>
  <si>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</si>
  <si>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</si>
  <si>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</si>
  <si>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</si>
  <si>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</si>
  <si>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</si>
  <si>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</si>
  <si>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</t>
  </si>
  <si>
    <t>1964</t>
  </si>
  <si>
    <t>1967</t>
  </si>
  <si>
    <t>1971</t>
  </si>
  <si>
    <t>1972</t>
  </si>
  <si>
    <t>1977</t>
  </si>
  <si>
    <t>1979</t>
  </si>
  <si>
    <t>1980</t>
  </si>
  <si>
    <t>Year</t>
  </si>
  <si>
    <t>Year Range</t>
  </si>
  <si>
    <t>1964-1999</t>
  </si>
  <si>
    <t>2000-2016</t>
  </si>
  <si>
    <t>1970-1999</t>
  </si>
  <si>
    <t>3. What is your present academic rank?</t>
  </si>
  <si>
    <t>Assistant Professor</t>
  </si>
  <si>
    <t>Associate Professor</t>
  </si>
  <si>
    <t>Instructor</t>
  </si>
  <si>
    <t>Lecturer</t>
  </si>
  <si>
    <t>Professor</t>
  </si>
  <si>
    <t>Rank</t>
  </si>
  <si>
    <t>4. What is your tenure status at this institution?</t>
  </si>
  <si>
    <t>Not on tenure track, but institution has tenure system</t>
  </si>
  <si>
    <t>On tenure track, but not tenured</t>
  </si>
  <si>
    <t>Tenured</t>
  </si>
  <si>
    <t>4a. In what year did you receive tenure?</t>
  </si>
  <si>
    <t>Percentage</t>
  </si>
  <si>
    <t>5. Are you retired from UNO?</t>
  </si>
  <si>
    <t>No</t>
  </si>
  <si>
    <t>Yes</t>
  </si>
  <si>
    <t>6. Are you considered a full-time employee of your institution for at least nine months of the current academic year?</t>
  </si>
  <si>
    <t>Part-Time Faculty Only</t>
  </si>
  <si>
    <t>6a. If given the choice, I would prefer to work full-time at this institution?</t>
  </si>
  <si>
    <t>6a. If given the choice, I would prefer to work full-time at this institution.</t>
  </si>
  <si>
    <t>6b. Have you ever sought a full-time teaching position at this or another institution?</t>
  </si>
  <si>
    <t>6c. Is your full-time professional career outside academia?</t>
  </si>
  <si>
    <t>6bi. How long ago did you pursue a full-time position?</t>
  </si>
  <si>
    <t>1 to 2 years ago</t>
  </si>
  <si>
    <t>3 to 5 years ago</t>
  </si>
  <si>
    <t>Currently seeking a position</t>
  </si>
  <si>
    <t>More than 5 years ago</t>
  </si>
  <si>
    <t>Within the last year</t>
  </si>
  <si>
    <t>6c. Is your full-time professional career outside academic?</t>
  </si>
  <si>
    <t>6d. In considering your reasons for teaching part-time at this institution, please indicate your agreement with the following statements:</t>
  </si>
  <si>
    <t>My part-time position is an important source of income for me.</t>
  </si>
  <si>
    <t>Strongly Agree</t>
  </si>
  <si>
    <t>Somewhat Agree</t>
  </si>
  <si>
    <t>Disagree Somewhat</t>
  </si>
  <si>
    <t>Disagree Strongly</t>
  </si>
  <si>
    <t>Compensation is not a major consideration in my decision to teach part-time</t>
  </si>
  <si>
    <t>Part-time teaching is a stepping-stone to a full-time position.</t>
  </si>
  <si>
    <t>Full-time positions were not available</t>
  </si>
  <si>
    <t>My expertise in my chosen profession is relevant to the course(s) I teach</t>
  </si>
  <si>
    <t>Marked</t>
  </si>
  <si>
    <t>Not Marked</t>
  </si>
  <si>
    <t>Use of private office</t>
  </si>
  <si>
    <t>Shared office space</t>
  </si>
  <si>
    <t>A personal computer</t>
  </si>
  <si>
    <t>An email account</t>
  </si>
  <si>
    <t>A phone/voicemail</t>
  </si>
  <si>
    <t>Professional development funds</t>
  </si>
  <si>
    <t>Printer access (i.e., free printing)</t>
  </si>
  <si>
    <t>6f. Please indicate your agreement with the following statements:</t>
  </si>
  <si>
    <t>Part-time instructors at this institution:</t>
  </si>
  <si>
    <t>Are given specific training before teaching</t>
  </si>
  <si>
    <t>Rarely get hired into full-time positions</t>
  </si>
  <si>
    <t>Receive respect from students</t>
  </si>
  <si>
    <t>Have no guarantee of employment security</t>
  </si>
  <si>
    <t>Have access to support services</t>
  </si>
  <si>
    <t>Are compensated for advising/counseling students</t>
  </si>
  <si>
    <t>Are required to attend meetings</t>
  </si>
  <si>
    <t>Have good working relationships with the administration</t>
  </si>
  <si>
    <t>Are respected by full-time faculty</t>
  </si>
  <si>
    <t>Are paid fairly</t>
  </si>
  <si>
    <t>Have input in course designs</t>
  </si>
  <si>
    <t>Are included in faculty governance</t>
  </si>
  <si>
    <t>6g. Aside from this institution, at how many other institutions do you teach?</t>
  </si>
  <si>
    <t>0 other institutions</t>
  </si>
  <si>
    <t>6h. For the current term, how far in advance of the beginning of the term did you receive your course assignments?</t>
  </si>
  <si>
    <t>Less than 1 week</t>
  </si>
  <si>
    <t>1-2 weeks</t>
  </si>
  <si>
    <t>3-4 weeks</t>
  </si>
  <si>
    <t>1-3 months</t>
  </si>
  <si>
    <t>More than 3 months</t>
  </si>
  <si>
    <t>7. Your sex:</t>
  </si>
  <si>
    <t>Female</t>
  </si>
  <si>
    <t>Male</t>
  </si>
  <si>
    <t>8. What is your principal activity in your current position at this institution?</t>
  </si>
  <si>
    <t>Administration</t>
  </si>
  <si>
    <t>Other</t>
  </si>
  <si>
    <t>Research</t>
  </si>
  <si>
    <t>Teaching</t>
  </si>
  <si>
    <t>9. Personally, how important to you is:</t>
  </si>
  <si>
    <t>Essential</t>
  </si>
  <si>
    <t>Very Important</t>
  </si>
  <si>
    <t>Somewhat Important</t>
  </si>
  <si>
    <t>Not Important</t>
  </si>
  <si>
    <t>Service</t>
  </si>
  <si>
    <t>10. How many courses are you teaching this term (include all institutions at which you teach)?</t>
  </si>
  <si>
    <t>10a. How many of the courses that you are teaching this term are:</t>
  </si>
  <si>
    <t>1-2</t>
  </si>
  <si>
    <t>3-4</t>
  </si>
  <si>
    <t>5-6</t>
  </si>
  <si>
    <t>7 +</t>
  </si>
  <si>
    <t>General education courses</t>
  </si>
  <si>
    <t>Courses required for an undergraduate major</t>
  </si>
  <si>
    <t>Other undergraduate credit courses</t>
  </si>
  <si>
    <t>Developmental/remedial courses (not for credit)</t>
  </si>
  <si>
    <t>Graduate courses</t>
  </si>
  <si>
    <t>10b. How many of these that you are teaching this term are being taught:</t>
  </si>
  <si>
    <t>At this institution</t>
  </si>
  <si>
    <t>At another institution</t>
  </si>
  <si>
    <t xml:space="preserve">10c. What types of courses do you primarily teach? </t>
  </si>
  <si>
    <t>Undergraduate credit courses</t>
  </si>
  <si>
    <t>I do not teach</t>
  </si>
  <si>
    <t>11. In the past year, have you worked with or taught undergraduate students at this institution?</t>
  </si>
  <si>
    <t>12. In the past year, have you worked with or taught graduate students at this institution?</t>
  </si>
  <si>
    <t>Part-Time Faculty</t>
  </si>
  <si>
    <t xml:space="preserve">12a. In the past year, to what extent have you: </t>
  </si>
  <si>
    <t>12a. In the past year, to what extent have you:</t>
  </si>
  <si>
    <t>Met with graduate students to discuss their research interests</t>
  </si>
  <si>
    <t>Mentored graduate students</t>
  </si>
  <si>
    <t>Helped graduate students access professional networks</t>
  </si>
  <si>
    <t>Presented with graduate students at conferences</t>
  </si>
  <si>
    <t>Published with graduate students</t>
  </si>
  <si>
    <t>Included graduate students in research grant writing</t>
  </si>
  <si>
    <t>To a Very Large Extent</t>
  </si>
  <si>
    <t>To a Large Extent</t>
  </si>
  <si>
    <t>To Some Extent</t>
  </si>
  <si>
    <t>To a Small Extent</t>
  </si>
  <si>
    <t>Not at all</t>
  </si>
  <si>
    <t xml:space="preserve">12b. In the past year: </t>
  </si>
  <si>
    <t>12b. In the past year:</t>
  </si>
  <si>
    <t>How many master's thesis committees have you served on or are currently serving?</t>
  </si>
  <si>
    <t>How many dissertation committees have you served on or are currently serving?</t>
  </si>
  <si>
    <t>12bi. In the past year:</t>
  </si>
  <si>
    <t xml:space="preserve">How many of these master's thesis committees have you chaired on or are currently: </t>
  </si>
  <si>
    <t>How many of these dissertation committees have you chaired or are currently serving?</t>
  </si>
  <si>
    <t xml:space="preserve">     How many master's thesis committees have you served on or are currently serving?</t>
  </si>
  <si>
    <t xml:space="preserve">     How many dissertation committees have you served on or are currently serving?</t>
  </si>
  <si>
    <t xml:space="preserve">          In the past year, how many of these master's thesis committees have you chaired or are currently chairing?</t>
  </si>
  <si>
    <t xml:space="preserve">          In the past year, how many of these dissertation committees have you chaired or are currently chairing?</t>
  </si>
  <si>
    <t>12c. In the past year, how many letters of recommendation have you written for graduate students?</t>
  </si>
  <si>
    <t>At least one letter</t>
  </si>
  <si>
    <t>12d. Rate your agreement with the following statements:</t>
  </si>
  <si>
    <t xml:space="preserve">12d. Rate your agreement with the following statements: </t>
  </si>
  <si>
    <t>Graduate Faculty</t>
  </si>
  <si>
    <t>Graduate students in this program must compete for research opportunities</t>
  </si>
  <si>
    <t>It is important for graduate students to spend at least one term as a teaching assistant to develop teaching skills</t>
  </si>
  <si>
    <t>This graduate program enrolls too few international students</t>
  </si>
  <si>
    <t>Graduate students work well together in this program</t>
  </si>
  <si>
    <t>Graduate students in this program receive adequate instruction on becoming good teachers</t>
  </si>
  <si>
    <t>Faculty in my department are good mentors for graduate students</t>
  </si>
  <si>
    <t>Most graduate students in this program move on to faculty positions</t>
  </si>
  <si>
    <t>Most graduate students in this program move into positions outside of academia</t>
  </si>
  <si>
    <t>Strongly agree</t>
  </si>
  <si>
    <t>Agree</t>
  </si>
  <si>
    <t>Disagree somewhat</t>
  </si>
  <si>
    <t>I have encountered instances of academic dishonesty among graduate students</t>
  </si>
  <si>
    <t>Graduate students in this program are trained to conduct research responsibly and ethically</t>
  </si>
  <si>
    <t>13. During the last three year, have you:</t>
  </si>
  <si>
    <t xml:space="preserve">13. During the past three years, have you: </t>
  </si>
  <si>
    <t>Advised student groups involved in service/volunteer work</t>
  </si>
  <si>
    <t>Collaborated with the local community on research/teaching to address their needs</t>
  </si>
  <si>
    <t>Conducted research or writing focused on: International/global issues</t>
  </si>
  <si>
    <t>Conducted research or writing focused on: Racial or ethnic minorities</t>
  </si>
  <si>
    <t>Conducted research or writing focused on: Women or gender issues</t>
  </si>
  <si>
    <t>Conducted research or writing focused on: Lesbian, Gay, Bisexual, Transgender, Queer Issues</t>
  </si>
  <si>
    <t>Conducted research or writing focused on: Biomedical science fields</t>
  </si>
  <si>
    <t>Engaged in academic research that spans multiple disciplines</t>
  </si>
  <si>
    <t>Engaged in public discourse about your research or field of study (e.g., blog, media, interviews, op-eds)</t>
  </si>
  <si>
    <t>Written research grants</t>
  </si>
  <si>
    <t>Received funding for your work from: Foundations</t>
  </si>
  <si>
    <t>Received funding for your work from: State or federal government</t>
  </si>
  <si>
    <t>Received funding for your work from: Business or industry</t>
  </si>
  <si>
    <t xml:space="preserve">14. During the past three years, have you: </t>
  </si>
  <si>
    <t>14. During the past three years, have you:</t>
  </si>
  <si>
    <t>Taught an honors course</t>
  </si>
  <si>
    <t>Taught an area studies course (e.g., women's studies, ethnic studies, LGBTQ studies)</t>
  </si>
  <si>
    <t>Taught a service learning course</t>
  </si>
  <si>
    <t>Taught a course exclusively online</t>
  </si>
  <si>
    <t>Taught a seminar for first-year students</t>
  </si>
  <si>
    <t>Participated in the development of curriculum (enhancing an existing course or creating a new course)</t>
  </si>
  <si>
    <t>15. In the past year, to what extent have you:</t>
  </si>
  <si>
    <t>In the past year, to what extent have you:</t>
  </si>
  <si>
    <t>Presented with undergraduate students at conferences</t>
  </si>
  <si>
    <t>Published with undergraduates</t>
  </si>
  <si>
    <t>Worked with undergraduate on their research project(s)</t>
  </si>
  <si>
    <t>Not at All</t>
  </si>
  <si>
    <t>16. How would you rate your overall experience with undergraduates on research projects?</t>
  </si>
  <si>
    <t>Excellent</t>
  </si>
  <si>
    <t>Good</t>
  </si>
  <si>
    <t>Fair</t>
  </si>
  <si>
    <t>Poor</t>
  </si>
  <si>
    <t>I have not worked with undergraduates on research projects</t>
  </si>
  <si>
    <t>17. How many undergraduates do you currently advise?</t>
  </si>
  <si>
    <t>18. During the past year, how often have you done each of the following with your undergraduate advisees?</t>
  </si>
  <si>
    <t xml:space="preserve">Informed them of academic support options (e.g., study skills advising, financial aid advising, Writing) </t>
  </si>
  <si>
    <t>Frequently</t>
  </si>
  <si>
    <t>Occasionally</t>
  </si>
  <si>
    <t>Not At all</t>
  </si>
  <si>
    <t>Helped them to plan their course of study</t>
  </si>
  <si>
    <t>Discussed their academic performance</t>
  </si>
  <si>
    <t>Provided information on other academic opportunities (e.g., study abroad, internships, undergraduate research)</t>
  </si>
  <si>
    <t>Discussed career and post-graduation goals</t>
  </si>
  <si>
    <t>19. During the past year, have you taken advantage of any of the following professional development opportunities provided by this institution?</t>
  </si>
  <si>
    <t>Funded workshops focused on: Teaching</t>
  </si>
  <si>
    <t>Funded workshops focused on: Research skills development</t>
  </si>
  <si>
    <t>Funded workshops focused on: Grant writing</t>
  </si>
  <si>
    <t>Paid sabbatical leave</t>
  </si>
  <si>
    <t>Travel funds paid by the institution</t>
  </si>
  <si>
    <t>Internal grants for research</t>
  </si>
  <si>
    <t>Training for administrative leadership</t>
  </si>
  <si>
    <t>Incentives to develop new courses</t>
  </si>
  <si>
    <t>Incentives to integrate technology into your classroom</t>
  </si>
  <si>
    <t>Resources to integrate culturally-compotent practices into your classroom</t>
  </si>
  <si>
    <t>Not Eligible</t>
  </si>
  <si>
    <t>Not Available</t>
  </si>
  <si>
    <t>20. How many of the following have you published?</t>
  </si>
  <si>
    <t>Articles in academic or professional journals</t>
  </si>
  <si>
    <t>Chapters in edited volumes</t>
  </si>
  <si>
    <t>Books, manuals, or monographs</t>
  </si>
  <si>
    <t>Other (e.g., patents, computer software products)</t>
  </si>
  <si>
    <t>None</t>
  </si>
  <si>
    <t>5-10</t>
  </si>
  <si>
    <t>11-20</t>
  </si>
  <si>
    <t>21-50</t>
  </si>
  <si>
    <t>51 +</t>
  </si>
  <si>
    <t>21. In the past three years, how many exhibitions or performances in the fine or applied arts have you presented?</t>
  </si>
  <si>
    <t>21+</t>
  </si>
  <si>
    <t>Solo/individual</t>
  </si>
  <si>
    <t>Collaborative</t>
  </si>
  <si>
    <t>How many exhibitions or performances in the fine or applied arts have you presented?</t>
  </si>
  <si>
    <t>22. In the past three years, how many of your professional writings have been published or accepted for publication?</t>
  </si>
  <si>
    <t>Solo-authored</t>
  </si>
  <si>
    <t>Co-authored</t>
  </si>
  <si>
    <t>23. During the present term, how many hours per week on average do you spend on each of the following?</t>
  </si>
  <si>
    <t>1-4</t>
  </si>
  <si>
    <t>5-8</t>
  </si>
  <si>
    <t>9-12</t>
  </si>
  <si>
    <t>13-16</t>
  </si>
  <si>
    <t>17-20</t>
  </si>
  <si>
    <t>21 +</t>
  </si>
  <si>
    <t>Scheduled teaching (give actual, not credit hours)</t>
  </si>
  <si>
    <t>Preparing for teaching (including reading student papers and grading)</t>
  </si>
  <si>
    <t>Advising or counseling students</t>
  </si>
  <si>
    <t>Committee work and meetings</t>
  </si>
  <si>
    <t>Research and scholarly writing</t>
  </si>
  <si>
    <t>Other creative products/performances</t>
  </si>
  <si>
    <t>Community or public service</t>
  </si>
  <si>
    <t>Outside consulting/freelance work</t>
  </si>
  <si>
    <t>Household/childcare duties</t>
  </si>
  <si>
    <t>Serving as a caregiver for another adult</t>
  </si>
  <si>
    <t>Other employment, outside of academia</t>
  </si>
  <si>
    <t>Personal time (e.g., exercise, hobbies, relaxing)</t>
  </si>
  <si>
    <t>24. In your interactions with undergraduates, how often in the past year did you encourage them to: (Mark one for each item)</t>
  </si>
  <si>
    <t>Ask questions in class</t>
  </si>
  <si>
    <t>Support their opinions with a logical argument</t>
  </si>
  <si>
    <t>Seek solutions to problems and explain them to others</t>
  </si>
  <si>
    <t>Analyze multiple sources of information before coming to a conclusion</t>
  </si>
  <si>
    <t>Evaluate the quality or reliability of information they receive</t>
  </si>
  <si>
    <t>Take risks for potential gains</t>
  </si>
  <si>
    <t>Seek alternative solutions to a problem</t>
  </si>
  <si>
    <t>Look up scientific research articles and resources</t>
  </si>
  <si>
    <t>Explore topics on their own, even though it was not required for a class</t>
  </si>
  <si>
    <t>Accept mistakes as part of the learning process</t>
  </si>
  <si>
    <t>Recognize biases that affect their thinking</t>
  </si>
  <si>
    <t>25. How frequently in the courses you taught in the past year have you given at least one assignment that required students to:</t>
  </si>
  <si>
    <t>Write in the specific style or format of your discipline</t>
  </si>
  <si>
    <t>Describe how different perspectives would affect the interpretation of a question or issue in your discipline</t>
  </si>
  <si>
    <t>Apply mathematical concepts and computational thinking</t>
  </si>
  <si>
    <t xml:space="preserve">25. How frequently in the courses you taught in the past year have you given at least one assignment that required students to: </t>
  </si>
  <si>
    <t>26. In how many of the courses that you teach do you use each of the following?</t>
  </si>
  <si>
    <t>Class discussions</t>
  </si>
  <si>
    <t>Cooperative learning (small groups)</t>
  </si>
  <si>
    <t>Experiential learning/Field studies</t>
  </si>
  <si>
    <t>Performances/Demonstrations</t>
  </si>
  <si>
    <t>Group projects</t>
  </si>
  <si>
    <t>Extensive lecturing</t>
  </si>
  <si>
    <t>Multiple drafts of written work</t>
  </si>
  <si>
    <t>Reflective writing/Journaling</t>
  </si>
  <si>
    <t>Community service as part of coursework</t>
  </si>
  <si>
    <t>Electronic quizzes with immediate feedback in class</t>
  </si>
  <si>
    <t>Using real-life problems</t>
  </si>
  <si>
    <t>Using student inquiry to drive learning</t>
  </si>
  <si>
    <t>All</t>
  </si>
  <si>
    <t>Most</t>
  </si>
  <si>
    <t>Some</t>
  </si>
  <si>
    <t>27. In how many courses that you teach do you use each of the following?</t>
  </si>
  <si>
    <t>Readings on racial and ethnic issues</t>
  </si>
  <si>
    <t>Readings on women or gender issues</t>
  </si>
  <si>
    <t>Supplemental instruction outside of class and office hours</t>
  </si>
  <si>
    <t>Student presentations</t>
  </si>
  <si>
    <t>Student evaluations of each others' work</t>
  </si>
  <si>
    <t>Grading on a curve</t>
  </si>
  <si>
    <t>Rubric-based assessment</t>
  </si>
  <si>
    <t>Flipping the classroom (i.e., student must watch/listen to instrucmental content before class, while class time is used for projects, assignments, and discussions)</t>
  </si>
  <si>
    <t>28. How frequently do you incorporate the following forms of technology into your courses?</t>
  </si>
  <si>
    <t>Videos or podcasts</t>
  </si>
  <si>
    <t>Simulations/animations</t>
  </si>
  <si>
    <t>Online homework or virtual labs</t>
  </si>
  <si>
    <t>Online discussion boards</t>
  </si>
  <si>
    <t>Audience response systems to gauge students' understanding (e.g., clickers)</t>
  </si>
  <si>
    <t>Occassionally</t>
  </si>
  <si>
    <t>29. Please indicate the extent to which you agree it is your role to:</t>
  </si>
  <si>
    <t>Encourage students to become agents of social change</t>
  </si>
  <si>
    <t>Prepare students for employment after college</t>
  </si>
  <si>
    <t>Prepare students for graduate or advanced education</t>
  </si>
  <si>
    <t>Develop students' moral character</t>
  </si>
  <si>
    <t>Provide for students' emotional development</t>
  </si>
  <si>
    <t>Help students develop personal values</t>
  </si>
  <si>
    <t>Enhance students' knowledge of and appreciation for other racial/ethnic groups</t>
  </si>
  <si>
    <t>Promote students' ability to write effectively</t>
  </si>
  <si>
    <t>Teach students tolerance and respect for different beliefs</t>
  </si>
  <si>
    <t>30. Please indicate your agreement with each of the following statements:</t>
  </si>
  <si>
    <t>The chief benefit of a college education is that it increases one's earning power</t>
  </si>
  <si>
    <t>A racially/ethnically diverse student body enhances the educational experience of all students</t>
  </si>
  <si>
    <t>Colleges have a responsibility to work with their surrounding communities to address local issues</t>
  </si>
  <si>
    <t>Private funding sources often prevent researchers from being completely objective in the conduct of their work</t>
  </si>
  <si>
    <t>I try to dispel perceptions of competition</t>
  </si>
  <si>
    <t>I achieve a healthy balance between my personal life and my professional life</t>
  </si>
  <si>
    <t>I feel that I have to work harder than my colleagues to be perceived as a legitimate scholar</t>
  </si>
  <si>
    <t>Somewhat agree</t>
  </si>
  <si>
    <t xml:space="preserve">31. Below are some statements about your college or university. Indicate the extent to which you agree or disagree with each of the following: </t>
  </si>
  <si>
    <t>This insitution has effective hiring practices and policies that increase faculty diversity</t>
  </si>
  <si>
    <t>Student Affairs stuaff have the support and respect of faculty</t>
  </si>
  <si>
    <t>There is a lot of campus racial conflict here</t>
  </si>
  <si>
    <t>My research is valued by faculty in my department</t>
  </si>
  <si>
    <t>My teaching is valued by faculty in my department</t>
  </si>
  <si>
    <t>My service is valued by faculty in my department</t>
  </si>
  <si>
    <t>Faculty are sufficiently involved in campus decision making</t>
  </si>
  <si>
    <t>The faculty are typically at odds with campus amdinistration</t>
  </si>
  <si>
    <t>Faculty here respect each other</t>
  </si>
  <si>
    <t>Administrators consider faculty concerns when making policy</t>
  </si>
  <si>
    <t>UNO takes responsilibity for educating underprepared students</t>
  </si>
  <si>
    <t>The criteria for advancement and promotion decisions are clear</t>
  </si>
  <si>
    <t>Most of the students I teach lack the basic skills for college level work</t>
  </si>
  <si>
    <t>There is adequate support for faculty development</t>
  </si>
  <si>
    <t>Faculty are not prepared to deal with conflict over diversity issues in the classroom</t>
  </si>
  <si>
    <t>This institution takes mentoring into consideration in the promotion process</t>
  </si>
  <si>
    <t>Faculty of color are treated fairly here</t>
  </si>
  <si>
    <t>Women faculty are treated fairly here</t>
  </si>
  <si>
    <t>LGBTQ faculty are treated fairly here</t>
  </si>
  <si>
    <t>32. Indicate how important you believe each priority listed below is at your college or university.</t>
  </si>
  <si>
    <t>Increase or maintain institutional affordability</t>
  </si>
  <si>
    <t>Develop a sense of community among students and faculty</t>
  </si>
  <si>
    <t>Facilitate student involvement in community service</t>
  </si>
  <si>
    <t>Help students learn how to bring about change in society</t>
  </si>
  <si>
    <t>Increase or maintain institutional prestige</t>
  </si>
  <si>
    <t>Hire faculty "stars"</t>
  </si>
  <si>
    <t>Recruit more traditionally underrepresented students</t>
  </si>
  <si>
    <t>Increase the selectivity of the student body through more competitive admissions criteria</t>
  </si>
  <si>
    <t>Promote gender diveristy in the faculty and administration</t>
  </si>
  <si>
    <t>Provide resources for faculty to engage in community-based teaching or research</t>
  </si>
  <si>
    <t>Create and sustain partnerships with surrounding communities</t>
  </si>
  <si>
    <t>Puruse extramural funding</t>
  </si>
  <si>
    <t>Strengthen links with the for-profit, corporate sector</t>
  </si>
  <si>
    <t>Develop leadership ability among students</t>
  </si>
  <si>
    <t>Develop an appreciate for multiculturalism</t>
  </si>
  <si>
    <t>Prepare students for the workplace</t>
  </si>
  <si>
    <t>Highest Priority</t>
  </si>
  <si>
    <t>High Priority</t>
  </si>
  <si>
    <t>Medium Priority</t>
  </si>
  <si>
    <t>Low Priority</t>
  </si>
  <si>
    <t>Promote racial and ethnic diversity in the faculty and administration</t>
  </si>
  <si>
    <t xml:space="preserve">33. Please indicate the extent to which you: </t>
  </si>
  <si>
    <t>Feel that the training you received between your work and your personal values</t>
  </si>
  <si>
    <t>Experience close alginment between your work and your personal values</t>
  </si>
  <si>
    <t>Mentor faculty</t>
  </si>
  <si>
    <t>Mentor undergraduate students</t>
  </si>
  <si>
    <t>Mentor graduate students</t>
  </si>
  <si>
    <t>Been mentored by at least one professional in academia</t>
  </si>
  <si>
    <t>Participated in training in preparation to be a mentor (e.g., workshops, programs)</t>
  </si>
  <si>
    <t>Accessed the National Research Mentoring Network (NRMN) resource</t>
  </si>
  <si>
    <t>33a. How would you rate the overal quality of your mentoring relationships with your faculty mentee(s)?</t>
  </si>
  <si>
    <t>33b. How would you rate the overall quality of your mentoring relationship with your undergraduate mentee(s)?</t>
  </si>
  <si>
    <t>33c. How would you rate your overall quality of your mentoring relationship with your graduate mentee(s)?</t>
  </si>
  <si>
    <t>34. How satisfied are you with the following aspects of your job?</t>
  </si>
  <si>
    <t>Salary</t>
  </si>
  <si>
    <t>Health benefits</t>
  </si>
  <si>
    <t>Retirement benefits</t>
  </si>
  <si>
    <t>Opportunity for scholarly pursuits</t>
  </si>
  <si>
    <t>Teaching load</t>
  </si>
  <si>
    <t>Quality of students</t>
  </si>
  <si>
    <t>Autonomy and independence</t>
  </si>
  <si>
    <t>Departmental leadership</t>
  </si>
  <si>
    <t>Departmental support for work/life balance</t>
  </si>
  <si>
    <t>Institutional support for work/life balance</t>
  </si>
  <si>
    <t>Prospects for career advancement</t>
  </si>
  <si>
    <t>Relative equity of salary and job benefits</t>
  </si>
  <si>
    <t>Flexibility in relation to family matters or emergencies</t>
  </si>
  <si>
    <t>Leave policies (e.g., paternity/maternity leave, caring for a family member, stopping the tenure clock)</t>
  </si>
  <si>
    <t>Overall Job</t>
  </si>
  <si>
    <t>Very Satisifed</t>
  </si>
  <si>
    <t>Satisfied</t>
  </si>
  <si>
    <t>Marginally Satisifed</t>
  </si>
  <si>
    <t>Not Satisfied</t>
  </si>
  <si>
    <t xml:space="preserve">34. How satisfied are you with the following aspects of your job? </t>
  </si>
  <si>
    <t xml:space="preserve">35. Please indicate the extent to which each of the following has been a source of stress for you during the past year: </t>
  </si>
  <si>
    <t>Managing household responsibilities</t>
  </si>
  <si>
    <t>Child care</t>
  </si>
  <si>
    <t>My physical health</t>
  </si>
  <si>
    <t>Review/promotion process</t>
  </si>
  <si>
    <t>Discrimination (e.g., prejudice, racism, sexism, homophobia, transphobia)</t>
  </si>
  <si>
    <t>Committee work</t>
  </si>
  <si>
    <t>Faculty meetings</t>
  </si>
  <si>
    <t>Students</t>
  </si>
  <si>
    <t>Research or publishing demands</t>
  </si>
  <si>
    <t>Institutional procedures and "red tape"</t>
  </si>
  <si>
    <t>Lack of personal time</t>
  </si>
  <si>
    <t>Job security</t>
  </si>
  <si>
    <t>Self-imposed high expectations</t>
  </si>
  <si>
    <t>Increased work responsbilities</t>
  </si>
  <si>
    <t>Institutional budget cuts</t>
  </si>
  <si>
    <t>Extensive</t>
  </si>
  <si>
    <t>Somewhat</t>
  </si>
  <si>
    <t>Not Applicable</t>
  </si>
  <si>
    <t>35. Please indicate the extent to which each of the following has been a source of stress for you during the past year:</t>
  </si>
  <si>
    <t>36. Have you been sexually harassed at this institution?</t>
  </si>
  <si>
    <t>37. In the past year, have you:</t>
  </si>
  <si>
    <t>Considered leaving academe for another job</t>
  </si>
  <si>
    <t>Considered leaving this institution for another</t>
  </si>
  <si>
    <t>Engaged in public service/professional consulting without pay</t>
  </si>
  <si>
    <t>Received at least one firm job offer elsewhere</t>
  </si>
  <si>
    <t>Sought an early promotion</t>
  </si>
  <si>
    <t>38. For each of the following items, please mark either Yes or No.</t>
  </si>
  <si>
    <t>Are you a member of a faculty union?</t>
  </si>
  <si>
    <t>Do you plan to retire within the next three years?</t>
  </si>
  <si>
    <t>Have you ever interrupted your professional career for more than one year for family reasons?</t>
  </si>
  <si>
    <t>Have you ever been formally recognized for outstanding teaching at this institution?</t>
  </si>
  <si>
    <t>39. Citizenship status:</t>
  </si>
  <si>
    <t>U.S. citizen</t>
  </si>
  <si>
    <t>Permanent resident (green card)</t>
  </si>
  <si>
    <t>Temporary, non-immigrant visa holder (i.e., J-1, H-1B, TN, T-3, o-1)</t>
  </si>
  <si>
    <t xml:space="preserve">40. how would you characterize your political views? </t>
  </si>
  <si>
    <t>Far left</t>
  </si>
  <si>
    <t>Liberal</t>
  </si>
  <si>
    <t>Middle-of-the-road</t>
  </si>
  <si>
    <t>Conservative</t>
  </si>
  <si>
    <t>Far Right</t>
  </si>
  <si>
    <t>41. If given the choice, would you:</t>
  </si>
  <si>
    <t>Still come to this institution?</t>
  </si>
  <si>
    <t>Still be a college professor?</t>
  </si>
  <si>
    <t>Definitely Yes</t>
  </si>
  <si>
    <t>Probably Yes</t>
  </si>
  <si>
    <t>Not Sure</t>
  </si>
  <si>
    <t>Probably No</t>
  </si>
  <si>
    <t>Deifnitely No</t>
  </si>
  <si>
    <t>42. Please select your case institutional salary.</t>
  </si>
  <si>
    <t/>
  </si>
  <si>
    <t>$10,000 - 19,000</t>
  </si>
  <si>
    <t>$100,000 - 124,999</t>
  </si>
  <si>
    <t>$125,000 - 149,999</t>
  </si>
  <si>
    <t>$150,000 - 199,999</t>
  </si>
  <si>
    <t>$20,000 - 29,999</t>
  </si>
  <si>
    <t>$30,000 - 39,999</t>
  </si>
  <si>
    <t>$40,000 - 49,999</t>
  </si>
  <si>
    <t>$50,000 - 59,999</t>
  </si>
  <si>
    <t>$60,000 - 69,999</t>
  </si>
  <si>
    <t>$70,000 - 79,999</t>
  </si>
  <si>
    <t>$80,000 - 89,999</t>
  </si>
  <si>
    <t>$90,000 - 99,999</t>
  </si>
  <si>
    <t>Less than $10,000</t>
  </si>
  <si>
    <t>No Response</t>
  </si>
  <si>
    <t>43. Your base institutional salary reported above is based on:</t>
  </si>
  <si>
    <t>Less than 9 months</t>
  </si>
  <si>
    <t>9/10 months</t>
  </si>
  <si>
    <t>11/12 months</t>
  </si>
  <si>
    <t>42. Part-Time Faculty - Please select your total salary from teaching at this institution for this academic year.</t>
  </si>
  <si>
    <t>$10,000 - 14,999</t>
  </si>
  <si>
    <t>$15,000 - 19,999</t>
  </si>
  <si>
    <t>$20,000 - 24,999</t>
  </si>
  <si>
    <t>$30,000 - 34,999</t>
  </si>
  <si>
    <t>$5,000 - 9,999</t>
  </si>
  <si>
    <t>Less than $5,000</t>
  </si>
  <si>
    <t>No response</t>
  </si>
  <si>
    <t>$1,000 - 1,499</t>
  </si>
  <si>
    <t>$10,000 or more</t>
  </si>
  <si>
    <t>$2,000 - 2,499</t>
  </si>
  <si>
    <t>$2,500 - 2,999</t>
  </si>
  <si>
    <t>$3,000 - 3,499</t>
  </si>
  <si>
    <t>$3,500 - 3,999</t>
  </si>
  <si>
    <t>$4,000 - 4,499</t>
  </si>
  <si>
    <t>$4,500 - 4,999</t>
  </si>
  <si>
    <t>$5,500 - 5,999</t>
  </si>
  <si>
    <t>$500 - 999</t>
  </si>
  <si>
    <t>$6,000 - 6,499</t>
  </si>
  <si>
    <t>$8,500 - 8,999</t>
  </si>
  <si>
    <t>Less than $500</t>
  </si>
  <si>
    <t>43PT. Part-Time Faculty - How much are you paid per course at this institution?</t>
  </si>
  <si>
    <t>44. Please select the most appropriate general area for the following: Major highest degree held:</t>
  </si>
  <si>
    <t>Architecture and related services</t>
  </si>
  <si>
    <t>Area/ethnic/cultural/gender studies</t>
  </si>
  <si>
    <t>Arts (visual and performing)</t>
  </si>
  <si>
    <t>Biological and biomedical sciences</t>
  </si>
  <si>
    <t>Business/management/marketing/related</t>
  </si>
  <si>
    <t>Communication/journalism/comm. Tech</t>
  </si>
  <si>
    <t>Computer/info sciences/support tech</t>
  </si>
  <si>
    <t>Education</t>
  </si>
  <si>
    <t>Engineering technologies/technicians</t>
  </si>
  <si>
    <t>English language and literature/letters</t>
  </si>
  <si>
    <t>Family/consumer sciences, human sciences</t>
  </si>
  <si>
    <t>Foreign languages/literature/linguistics</t>
  </si>
  <si>
    <t>Health professions/clinical sciences</t>
  </si>
  <si>
    <t>Legal professions and studies</t>
  </si>
  <si>
    <t>Library science</t>
  </si>
  <si>
    <t>Mathematics and statistics</t>
  </si>
  <si>
    <t>Parks/recreation/leisure/fitness studies</t>
  </si>
  <si>
    <t>Philosophy, religion &amp; theology</t>
  </si>
  <si>
    <t>Physical sciences</t>
  </si>
  <si>
    <t>Psychology</t>
  </si>
  <si>
    <t>Public administration/social services</t>
  </si>
  <si>
    <t>Social sciences (except psych) and history</t>
  </si>
  <si>
    <t>44. Please select the most appropriate general area for the following: Department of current faculty appointment:</t>
  </si>
  <si>
    <t>Multi/interdisciplinary studies</t>
  </si>
  <si>
    <t>Science technologies/technicians</t>
  </si>
  <si>
    <t>44b. Please select the most appropriate disciplinary field for the following: Major of highest degree held</t>
  </si>
  <si>
    <t>Accounting and related services</t>
  </si>
  <si>
    <t>Anthropology (except psychology)</t>
  </si>
  <si>
    <t>Art history, criticism, and conservation</t>
  </si>
  <si>
    <t>Astronomy &amp; astrophysics</t>
  </si>
  <si>
    <t>Biochem/biophysics/molecular biology</t>
  </si>
  <si>
    <t>Biological &amp; biomedical sciences, other</t>
  </si>
  <si>
    <t>Biomedical/medical engineering</t>
  </si>
  <si>
    <t>Business operations support/assistance</t>
  </si>
  <si>
    <t>Business/mgt/marketing/related, other</t>
  </si>
  <si>
    <t>Chemistry</t>
  </si>
  <si>
    <t>Communication/journalism/related programs</t>
  </si>
  <si>
    <t>Computer sciences</t>
  </si>
  <si>
    <t>Criminology</t>
  </si>
  <si>
    <t>Curriculum and instruction</t>
  </si>
  <si>
    <t>Drama/theatre arts and stagecraft</t>
  </si>
  <si>
    <t>Economics</t>
  </si>
  <si>
    <t>Education, other</t>
  </si>
  <si>
    <t>Education/instructional media design</t>
  </si>
  <si>
    <t>Education/school psychology</t>
  </si>
  <si>
    <t>Educational administration/supervision</t>
  </si>
  <si>
    <t>Electrical/electronics/comms engineering</t>
  </si>
  <si>
    <t>Elementary education and teaching</t>
  </si>
  <si>
    <t>Finance/financial management services</t>
  </si>
  <si>
    <t>Fine and studio art</t>
  </si>
  <si>
    <t>Foreign Languages/literature/linguistics</t>
  </si>
  <si>
    <t>Genetics</t>
  </si>
  <si>
    <t>Geography &amp; cartography</t>
  </si>
  <si>
    <t>Geological &amp; earth sciences/geosciences</t>
  </si>
  <si>
    <t>Health and physical education/fitness</t>
  </si>
  <si>
    <t>History</t>
  </si>
  <si>
    <t>Information science/studies</t>
  </si>
  <si>
    <t>Law</t>
  </si>
  <si>
    <t>Management information systems/services</t>
  </si>
  <si>
    <t>Marketing</t>
  </si>
  <si>
    <t>Mathematics</t>
  </si>
  <si>
    <t>Mathematics and statistics, other</t>
  </si>
  <si>
    <t>Microbiological sciences &amp; immunology</t>
  </si>
  <si>
    <t>Music, general</t>
  </si>
  <si>
    <t>Philosophy</t>
  </si>
  <si>
    <t>Physics</t>
  </si>
  <si>
    <t>Physiology, pathology &amp; related sciences</t>
  </si>
  <si>
    <t>Political science and government</t>
  </si>
  <si>
    <t>Psychology, other</t>
  </si>
  <si>
    <t>Public administration</t>
  </si>
  <si>
    <t>Public administration &amp; Social services other</t>
  </si>
  <si>
    <t>Public Health</t>
  </si>
  <si>
    <t>Religion/religious studies</t>
  </si>
  <si>
    <t>Secondary education and teaching</t>
  </si>
  <si>
    <t>Social sciences, other</t>
  </si>
  <si>
    <t>Sociology</t>
  </si>
  <si>
    <t>Special education and teaching</t>
  </si>
  <si>
    <t>Statistics</t>
  </si>
  <si>
    <t>Teacher ed: specific subject areas</t>
  </si>
  <si>
    <t>Visual and performing arts, others</t>
  </si>
  <si>
    <t>Zoology/animal biology</t>
  </si>
  <si>
    <t>44b. Please select the most appropriate disciplinary field for the following: Department of current faculty appointment</t>
  </si>
  <si>
    <t>Business admin/management/operations</t>
  </si>
  <si>
    <t>Computer Science</t>
  </si>
  <si>
    <t>Criminal Justice</t>
  </si>
  <si>
    <t>Demography &amp; population studies</t>
  </si>
  <si>
    <t>Engineering, other</t>
  </si>
  <si>
    <t>Higher Education</t>
  </si>
  <si>
    <t>Legal professions and studies, other</t>
  </si>
  <si>
    <t>Parks, recreation and leisure studies</t>
  </si>
  <si>
    <t>Philosophy, religion &amp; theology, other</t>
  </si>
  <si>
    <t>Social work</t>
  </si>
  <si>
    <t>Teacher ed: specific levels, other</t>
  </si>
  <si>
    <t>45. Please mark the highest degree you have earned:</t>
  </si>
  <si>
    <t>Bachelor's (B.A., B.S., etc.)</t>
  </si>
  <si>
    <t>J.D.</t>
  </si>
  <si>
    <t>Master's (M.A., M.S.)</t>
  </si>
  <si>
    <t>Ph.D.</t>
  </si>
  <si>
    <t>Professional Doctorate (Ed.D., Psy.D., etc.)</t>
  </si>
  <si>
    <t>Terminal Master's (M.F.A., M.B.A.)</t>
  </si>
  <si>
    <t>46. Please mark the degree you are currently working on:</t>
  </si>
  <si>
    <t>47. Are you currently serving in an administrative position as:</t>
  </si>
  <si>
    <t>Department chair</t>
  </si>
  <si>
    <t>Dean (including Associate or Assistant)</t>
  </si>
  <si>
    <t>Vice-President</t>
  </si>
  <si>
    <t>President</t>
  </si>
  <si>
    <t>Provost</t>
  </si>
  <si>
    <t>Marginally Satisfied</t>
  </si>
  <si>
    <t>Mentoring Module</t>
  </si>
  <si>
    <t>1. How would you rate yourself as a mentor in the following areas:</t>
  </si>
  <si>
    <t>Providing constructive feedback to your mentees</t>
  </si>
  <si>
    <t>Taking into account the biases and prejudices you bring into the mentor/mentee relationship</t>
  </si>
  <si>
    <t>Working effectively with mentees whose personal background is different from your own (age, race, gender)</t>
  </si>
  <si>
    <t>Being an advocate for your mentees</t>
  </si>
  <si>
    <t>Helping your mentees network effectively</t>
  </si>
  <si>
    <t>Helping your mentees acquire financial resources (e.g., scholarships, fellowships, grants)</t>
  </si>
  <si>
    <t>A Major Strength</t>
  </si>
  <si>
    <t>Somewhat Strong</t>
  </si>
  <si>
    <t>Average</t>
  </si>
  <si>
    <t>Somewhat Weak</t>
  </si>
  <si>
    <t>A Major Weakness</t>
  </si>
  <si>
    <t xml:space="preserve">2. Please answer the following questions about mentoring undergraduate students. How many undergraduate students do you currently mentor? </t>
  </si>
  <si>
    <t>11-15</t>
  </si>
  <si>
    <t>16-20</t>
  </si>
  <si>
    <t>21-25</t>
  </si>
  <si>
    <t>26-30</t>
  </si>
  <si>
    <t>31 or more</t>
  </si>
  <si>
    <t>3. How often do you typically communicate with your undergraduate mentee(s)?</t>
  </si>
  <si>
    <t>Daily</t>
  </si>
  <si>
    <t>Weekly</t>
  </si>
  <si>
    <t>Monthly</t>
  </si>
  <si>
    <t>Once per term</t>
  </si>
  <si>
    <t>Yearly</t>
  </si>
  <si>
    <t xml:space="preserve">4. To what extent do you work with your undergraduat ementees on the following: </t>
  </si>
  <si>
    <t>Educational choices</t>
  </si>
  <si>
    <t>Their research projects and interests</t>
  </si>
  <si>
    <t>To Some extent</t>
  </si>
  <si>
    <t>5. To what extent have you:</t>
  </si>
  <si>
    <t>Explored career options with your undergraduate mentee(s)</t>
  </si>
  <si>
    <t>Served as a role model to your undergraduate mentee(s)</t>
  </si>
  <si>
    <t>Gone out of your way to promote your undergraduate mentees' academic interests</t>
  </si>
  <si>
    <t>Conveyed empathy for concerns or feelings your undergraduate mentees have discussed with you.</t>
  </si>
  <si>
    <t>6. How many graduate students do you currently mentor?</t>
  </si>
  <si>
    <t>7. How often do you typically communicate with your graduate mentee(s)?</t>
  </si>
  <si>
    <t>8. To what extent do you work with your graduate mentees on the following:</t>
  </si>
  <si>
    <t>Educational choices and strategies</t>
  </si>
  <si>
    <t>9. To what extent have you:</t>
  </si>
  <si>
    <t>Explored career options with your graduate mentee(s)</t>
  </si>
  <si>
    <t>Served as a role model to your graduate mentee(s)</t>
  </si>
  <si>
    <t>Gone out of your way to promote your graduate mentees' academic interests</t>
  </si>
  <si>
    <t>Conveyed empathy for concerns or feelings your graduate mentees have discussed with you</t>
  </si>
  <si>
    <t xml:space="preserve">9. To what extent have you: </t>
  </si>
  <si>
    <t>10. How many faculty members do you currently mentor at this institution?</t>
  </si>
  <si>
    <t>Problem with data field, sent question of HERI</t>
  </si>
  <si>
    <t>11. How often do you typically communicate with your faculty mentee(s)?</t>
  </si>
  <si>
    <t>12. To want extent do you work with your faculty mentees on the following:</t>
  </si>
  <si>
    <t>12. To what extent do you work with your faculty mentees on the following:</t>
  </si>
  <si>
    <t>Their research</t>
  </si>
  <si>
    <t>Their teaching</t>
  </si>
  <si>
    <t>Their review, tenure, and promotion</t>
  </si>
  <si>
    <t>13. To what extent have you:</t>
  </si>
  <si>
    <t>Served as a role model to your facuty mentee(s)</t>
  </si>
  <si>
    <t>Conveyed empathy for concerns or feelings your faculty mentees have discussed with you</t>
  </si>
  <si>
    <t>Campus Climate Module</t>
  </si>
  <si>
    <t>1. Please indicate the extent to which you agree or disagree with the following statements. This institution:</t>
  </si>
  <si>
    <t>Lacks staretgic diversity goals and plans</t>
  </si>
  <si>
    <t>Has a long-standing commitment to diversity</t>
  </si>
  <si>
    <t>Has standard reporting procedures for incidents of harassment or discrimination</t>
  </si>
  <si>
    <t>1. Please indicate the extent to which you agree or disagree with the following statements. UNO:</t>
  </si>
  <si>
    <t>2. Please indicate how often at this institution you have:</t>
  </si>
  <si>
    <t>Very Often</t>
  </si>
  <si>
    <t>Often</t>
  </si>
  <si>
    <t>Sometimes</t>
  </si>
  <si>
    <t>Seldom</t>
  </si>
  <si>
    <t>Never</t>
  </si>
  <si>
    <t>Assisted a student who had experienced discrimination</t>
  </si>
  <si>
    <t>Counseled a student who had been sexually assaulted</t>
  </si>
  <si>
    <t>Witenessed discrimination</t>
  </si>
  <si>
    <t>Reported an incident of discrimination to a campus authority</t>
  </si>
  <si>
    <t>Reported an incident of sexual harassment ot a campus authority</t>
  </si>
  <si>
    <t>Been discriminated against or excluded from activities because of my: Race/ethnicity</t>
  </si>
  <si>
    <t>Been discriminated against or excluded from activities because of my: Gender</t>
  </si>
  <si>
    <t>Been discriminated against or excluded from activities because of my: Sexual orientation</t>
  </si>
  <si>
    <t>Been discriminated against or excluded from activities because of my: Other identity</t>
  </si>
  <si>
    <t>Heard insensitive or disparagin racial remarks</t>
  </si>
  <si>
    <t>Heard insensitive or disparaging remarks about women</t>
  </si>
  <si>
    <t>Heard insensitive or disparaging comments about LGBTQ individuals</t>
  </si>
  <si>
    <t xml:space="preserve">2. Please indicate how often at this institution you have: </t>
  </si>
  <si>
    <t>3. How satisfied are you with the following aspects of your institution?</t>
  </si>
  <si>
    <t>Atmosphere for political differences</t>
  </si>
  <si>
    <t>Atmosphere for religious differences</t>
  </si>
  <si>
    <t>Atmosphere for differences in sexual oritentation</t>
  </si>
  <si>
    <t>Administrative response to: Incidents of discrimination</t>
  </si>
  <si>
    <t>Administrative response to: Reports of sexual assault</t>
  </si>
  <si>
    <t>Administrative response to: Student concerns about exclusion or marginality</t>
  </si>
  <si>
    <t>Very Satisfied</t>
  </si>
  <si>
    <t>Neutral</t>
  </si>
  <si>
    <t>Dissatisfeied</t>
  </si>
  <si>
    <t>Very Dissatisfied</t>
  </si>
  <si>
    <t xml:space="preserve">4. Please rate your satisfaction with your department in each area: </t>
  </si>
  <si>
    <t>Collegiality among faculty</t>
  </si>
  <si>
    <t>Tolerance of different faculty opinions and beliefs</t>
  </si>
  <si>
    <t>Representation of women faculty</t>
  </si>
  <si>
    <t>Representation of racial/ethnic minority faculty</t>
  </si>
  <si>
    <t>Acceptance of differences in sexual orientation</t>
  </si>
  <si>
    <t>Student respect for my role in the classroom</t>
  </si>
  <si>
    <t>4. Please rate your satisfaction with your department in each area:</t>
  </si>
  <si>
    <t>Spirituality Module</t>
  </si>
  <si>
    <t>1. Indicate the important to you of each of the following education goals for undergraduate students:</t>
  </si>
  <si>
    <t>1. Indicate the importance to you of each of the following educational goals for undergraduate students:</t>
  </si>
  <si>
    <t>Enhancing spiritual development</t>
  </si>
  <si>
    <t>Faciltating the search for meaning/purpose in life</t>
  </si>
  <si>
    <t>Becoming more conversant with different religious traditions</t>
  </si>
  <si>
    <t>Becoming more conversant with different spiritual practices</t>
  </si>
  <si>
    <t>2. Indicate the extent to which you:</t>
  </si>
  <si>
    <t>Engage in self-reflection</t>
  </si>
  <si>
    <t>Consider yourself a religious person</t>
  </si>
  <si>
    <t>Consider yourself a spiritual person</t>
  </si>
  <si>
    <t>Engage in prayer</t>
  </si>
  <si>
    <t>Engage in meditation</t>
  </si>
  <si>
    <t>Seek opportunities to grow spiritually</t>
  </si>
  <si>
    <t>Encourage discussion of religiou and spiritual matters among students</t>
  </si>
  <si>
    <t>Engage in discussion of religiou and spiritual matters with students</t>
  </si>
  <si>
    <t>3. Please indicate your agreement with each of the following statements:</t>
  </si>
  <si>
    <t>Colleges should be concerned with facilitating undergraduate students' spiritual development</t>
  </si>
  <si>
    <t>The spiritual dimension of faculty memebers' lives has no place in the academy</t>
  </si>
  <si>
    <t>I am conflicted about my religious/spiritual beliefs</t>
  </si>
  <si>
    <t>I follow the religiou/spiritual beliefes of this isntituion</t>
  </si>
  <si>
    <t>4. Please indicate your agreement with each of the following statements:</t>
  </si>
  <si>
    <t>Integrating spirituality into my life</t>
  </si>
  <si>
    <t>Serving as a spiritual/religious advisor to students</t>
  </si>
  <si>
    <t>4. Indicate the importance to you personally of each of the following:</t>
  </si>
  <si>
    <t>STEM Module</t>
  </si>
  <si>
    <t>1. In the courses you have taught in the past year, how often do you:</t>
  </si>
  <si>
    <t>Integrate authentic (i.e., not "cookbook") research experiences into labs</t>
  </si>
  <si>
    <t>Incorporate mini-labs into lecture</t>
  </si>
  <si>
    <t>Always</t>
  </si>
  <si>
    <t>Rarely</t>
  </si>
  <si>
    <t xml:space="preserve">1. In the courses you have taught in the past year, how often do you: </t>
  </si>
  <si>
    <t>2. In the STEM courses you have taught in the past year, how often do you encourage students to:</t>
  </si>
  <si>
    <t>Use technical science skills (use of tools, instrusments, and/or techniques)</t>
  </si>
  <si>
    <t>Generate a research question</t>
  </si>
  <si>
    <t>Determine how to collect appropriate data</t>
  </si>
  <si>
    <t>Explain the results of a study</t>
  </si>
  <si>
    <t>Use scientific literature to guide research</t>
  </si>
  <si>
    <t>Integrate results from multiple studies</t>
  </si>
  <si>
    <t>Ask relevant questions</t>
  </si>
  <si>
    <t>Identify what is known and not known about a problem</t>
  </si>
  <si>
    <t>Understand scientific concepts</t>
  </si>
  <si>
    <t>See connections between different areas of science and mathematics</t>
  </si>
  <si>
    <t>3. To what extent are the following statements true of you:</t>
  </si>
  <si>
    <t>I have a strong sense of belonging to a community of scientists</t>
  </si>
  <si>
    <t>I derive great personal satisfcation from working on a team that is doing important research</t>
  </si>
  <si>
    <t>I think of myself as a scientist</t>
  </si>
  <si>
    <t>I feel like I belong in the field of science</t>
  </si>
  <si>
    <t xml:space="preserve">3. To what extent are the following statements true of you: </t>
  </si>
  <si>
    <t>4. To what extent do you structure your STEM courses so that students:</t>
  </si>
  <si>
    <t>Develop a stronger interest in STEM disciplines</t>
  </si>
  <si>
    <t>Have the foundational knowledge for advanced study in STEM</t>
  </si>
  <si>
    <t>My part-time position provides benefits (e.g., health insurance, retirement) that I need</t>
  </si>
  <si>
    <t>Teaching part-time fits my current lifestyle</t>
  </si>
  <si>
    <t>6e. Mark all institutional resources available to you in your last term as part-time faculty.</t>
  </si>
  <si>
    <t>Are primarily responsible for introductory classes</t>
  </si>
  <si>
    <t>Developmental/remedial courses</t>
  </si>
  <si>
    <t>Taught an interdisciplinary course</t>
  </si>
  <si>
    <t>Participated in organized activities around enhancing pedagogy or student learning</t>
  </si>
  <si>
    <t>Engaged undergraduates on your research project(s)</t>
  </si>
  <si>
    <t>Resources to integrate culturally-competent practices into your classroom</t>
  </si>
  <si>
    <t>Flipping the classroom (i.e., student must watch/listen to instrumental content before class, while class time is used for projects, assignments, and discussions)</t>
  </si>
  <si>
    <t>This institution has effective hiring practices and policies that increase faculty diversity</t>
  </si>
  <si>
    <t>Student Affairs staff have the support and respect of faculty</t>
  </si>
  <si>
    <t>The faculty are typically at odds with campus administration</t>
  </si>
  <si>
    <t>UNO takes responsibility for educating underprepared students</t>
  </si>
  <si>
    <t>Promote gender diversity in the faculty and administration</t>
  </si>
  <si>
    <t>Pursue extramural funding</t>
  </si>
  <si>
    <t>Experience close alignment between your work and your personal values</t>
  </si>
  <si>
    <t>33a. How would you rate the overall quality of your mentoring relationships with your faculty mentee(s)?</t>
  </si>
  <si>
    <t>Increased work responsibilities</t>
  </si>
  <si>
    <t>Definitely No</t>
  </si>
  <si>
    <t xml:space="preserve">4. To what extent do you work with your undergraduate mentees on the following: </t>
  </si>
  <si>
    <t>Served as a role model to your faculty mentee(s)</t>
  </si>
  <si>
    <t>Lacks strategic diversity goals and plans</t>
  </si>
  <si>
    <t>Witnessed discrimination</t>
  </si>
  <si>
    <t>Reported an incident of sexual harassment to a campus authority</t>
  </si>
  <si>
    <t>Heard insensitive or disparaging racial remarks</t>
  </si>
  <si>
    <t>Dissatisfied</t>
  </si>
  <si>
    <t>Atmosphere for differences in sexual orientation</t>
  </si>
  <si>
    <t>Facilitating the search for meaning/purpose in life</t>
  </si>
  <si>
    <t>Encourage discussion of religious and spiritual matters among students</t>
  </si>
  <si>
    <t>Engage in discussion of religious and spiritual matters with students</t>
  </si>
  <si>
    <t>The spiritual dimension of faculty members'' lives has no place in the academy</t>
  </si>
  <si>
    <t>I follow the religious/spiritual beliefs of this institution</t>
  </si>
  <si>
    <t>Use technical science skills (use of tools, instruments, and/or techniques)</t>
  </si>
  <si>
    <t>I derive great personal satisfaction from working on a team that is doing important research</t>
  </si>
  <si>
    <t>?</t>
  </si>
  <si>
    <t>Did not respond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</si>
</sst>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###0"/>
    <numFmt numFmtId="166" formatCode="####.0"/>
    <numFmt numFmtId="167" formatCode="###0.0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152">
    <xf numFmtId="0" fontId="0" fillId="0" borderId="0" xfId="0"/>
    <xf numFmtId="9" fontId="0" fillId="0" borderId="0" xfId="1" applyFont="1"/>
    <xf numFmtId="164" fontId="0" fillId="0" borderId="0" xfId="1" applyNumberFormat="1" applyFont="1"/>
    <xf numFmtId="0" fontId="2" fillId="0" borderId="0" xfId="0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1" applyNumberFormat="1" applyFont="1"/>
    <xf numFmtId="0" fontId="0" fillId="0" borderId="1" xfId="0" applyNumberFormat="1" applyBorder="1"/>
    <xf numFmtId="0" fontId="0" fillId="0" borderId="1" xfId="9" applyNumberFormat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0" fontId="5" fillId="0" borderId="1" xfId="0" applyFont="1" applyBorder="1"/>
    <xf numFmtId="49" fontId="0" fillId="0" borderId="1" xfId="0" applyNumberFormat="1" applyBorder="1" applyAlignment="1">
      <alignment horizontal="right"/>
    </xf>
    <xf numFmtId="9" fontId="0" fillId="0" borderId="1" xfId="1" applyFont="1" applyBorder="1"/>
    <xf numFmtId="49" fontId="0" fillId="0" borderId="0" xfId="0" applyNumberFormat="1"/>
    <xf numFmtId="49" fontId="0" fillId="0" borderId="1" xfId="0" applyNumberFormat="1" applyBorder="1"/>
    <xf numFmtId="0" fontId="6" fillId="0" borderId="0" xfId="3" applyFont="1"/>
    <xf numFmtId="0" fontId="7" fillId="0" borderId="0" xfId="3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3" applyFont="1" applyBorder="1"/>
    <xf numFmtId="0" fontId="7" fillId="0" borderId="1" xfId="3" applyFont="1" applyBorder="1"/>
    <xf numFmtId="0" fontId="6" fillId="0" borderId="0" xfId="0" applyFont="1"/>
    <xf numFmtId="0" fontId="6" fillId="0" borderId="1" xfId="0" applyFont="1" applyBorder="1"/>
    <xf numFmtId="164" fontId="6" fillId="0" borderId="1" xfId="1" applyNumberFormat="1" applyFont="1" applyBorder="1"/>
    <xf numFmtId="168" fontId="0" fillId="0" borderId="1" xfId="9" applyNumberFormat="1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164" fontId="0" fillId="0" borderId="1" xfId="1" applyNumberFormat="1" applyFont="1" applyBorder="1" applyAlignment="1">
      <alignment wrapText="1"/>
    </xf>
    <xf numFmtId="164" fontId="7" fillId="0" borderId="0" xfId="3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4" fontId="7" fillId="0" borderId="0" xfId="3" applyNumberFormat="1" applyFont="1" applyFill="1" applyBorder="1"/>
    <xf numFmtId="164" fontId="0" fillId="0" borderId="0" xfId="1" applyNumberFormat="1" applyFont="1" applyFill="1" applyBorder="1"/>
    <xf numFmtId="164" fontId="2" fillId="0" borderId="0" xfId="1" applyNumberFormat="1" applyFont="1" applyFill="1" applyBorder="1"/>
    <xf numFmtId="0" fontId="9" fillId="0" borderId="0" xfId="10" applyFont="1" applyBorder="1" applyAlignment="1">
      <alignment vertical="center" wrapText="1"/>
    </xf>
    <xf numFmtId="0" fontId="9" fillId="0" borderId="1" xfId="10" applyFont="1" applyBorder="1" applyAlignment="1">
      <alignment vertical="center" wrapText="1"/>
    </xf>
    <xf numFmtId="0" fontId="10" fillId="0" borderId="1" xfId="10" applyFont="1" applyBorder="1" applyAlignment="1">
      <alignment horizontal="left" vertical="top" wrapText="1"/>
    </xf>
    <xf numFmtId="165" fontId="10" fillId="0" borderId="1" xfId="10" applyNumberFormat="1" applyFont="1" applyBorder="1" applyAlignment="1">
      <alignment horizontal="right" vertical="center"/>
    </xf>
    <xf numFmtId="0" fontId="9" fillId="0" borderId="0" xfId="10" applyFont="1" applyBorder="1" applyAlignment="1">
      <alignment vertical="top" wrapText="1"/>
    </xf>
    <xf numFmtId="165" fontId="10" fillId="0" borderId="0" xfId="10" applyNumberFormat="1" applyFont="1" applyBorder="1" applyAlignment="1">
      <alignment horizontal="right" vertical="top" wrapText="1"/>
    </xf>
    <xf numFmtId="164" fontId="6" fillId="0" borderId="0" xfId="1" applyNumberFormat="1" applyFont="1" applyBorder="1"/>
    <xf numFmtId="0" fontId="10" fillId="0" borderId="1" xfId="10" applyFont="1" applyBorder="1" applyAlignment="1">
      <alignment wrapText="1"/>
    </xf>
    <xf numFmtId="0" fontId="10" fillId="0" borderId="1" xfId="10" applyFont="1" applyBorder="1" applyAlignment="1">
      <alignment horizontal="center" wrapText="1"/>
    </xf>
    <xf numFmtId="0" fontId="10" fillId="0" borderId="1" xfId="10" applyFont="1" applyBorder="1" applyAlignment="1">
      <alignment vertical="top" wrapText="1"/>
    </xf>
    <xf numFmtId="165" fontId="10" fillId="0" borderId="1" xfId="10" applyNumberFormat="1" applyFont="1" applyBorder="1" applyAlignment="1">
      <alignment horizontal="right" vertical="top" wrapText="1"/>
    </xf>
    <xf numFmtId="0" fontId="10" fillId="0" borderId="1" xfId="11" applyFont="1" applyBorder="1" applyAlignment="1">
      <alignment horizontal="left" wrapText="1"/>
    </xf>
    <xf numFmtId="0" fontId="10" fillId="0" borderId="1" xfId="11" applyFont="1" applyBorder="1" applyAlignment="1">
      <alignment horizontal="center" wrapText="1"/>
    </xf>
    <xf numFmtId="0" fontId="10" fillId="0" borderId="1" xfId="11" applyFont="1" applyBorder="1" applyAlignment="1">
      <alignment horizontal="left" vertical="top" wrapText="1"/>
    </xf>
    <xf numFmtId="165" fontId="10" fillId="0" borderId="1" xfId="11" applyNumberFormat="1" applyFont="1" applyBorder="1" applyAlignment="1">
      <alignment horizontal="right" vertical="center"/>
    </xf>
    <xf numFmtId="0" fontId="10" fillId="0" borderId="0" xfId="11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left" vertical="top" wrapText="1"/>
    </xf>
    <xf numFmtId="0" fontId="0" fillId="0" borderId="1" xfId="0" quotePrefix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Border="1"/>
    <xf numFmtId="0" fontId="7" fillId="0" borderId="0" xfId="3" applyFont="1" applyFill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4" fillId="0" borderId="0" xfId="3" applyFont="1"/>
    <xf numFmtId="10" fontId="0" fillId="0" borderId="0" xfId="0" applyNumberFormat="1" applyFont="1"/>
    <xf numFmtId="0" fontId="4" fillId="0" borderId="1" xfId="3" applyFont="1" applyBorder="1"/>
    <xf numFmtId="1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9" fontId="0" fillId="0" borderId="0" xfId="0" applyNumberFormat="1" applyFont="1"/>
    <xf numFmtId="168" fontId="0" fillId="0" borderId="1" xfId="0" applyNumberFormat="1" applyFont="1" applyBorder="1"/>
    <xf numFmtId="16" fontId="0" fillId="0" borderId="0" xfId="0" applyNumberFormat="1" applyFont="1"/>
    <xf numFmtId="49" fontId="0" fillId="0" borderId="1" xfId="0" applyNumberFormat="1" applyFont="1" applyBorder="1"/>
    <xf numFmtId="49" fontId="0" fillId="0" borderId="0" xfId="0" applyNumberFormat="1" applyFont="1"/>
    <xf numFmtId="0" fontId="0" fillId="0" borderId="1" xfId="0" applyFont="1" applyBorder="1" applyAlignment="1">
      <alignment horizontal="center" wrapText="1"/>
    </xf>
    <xf numFmtId="0" fontId="10" fillId="0" borderId="1" xfId="5" applyFont="1" applyBorder="1" applyAlignment="1">
      <alignment horizontal="left" wrapText="1"/>
    </xf>
    <xf numFmtId="0" fontId="10" fillId="0" borderId="1" xfId="5" applyFont="1" applyBorder="1" applyAlignment="1">
      <alignment horizontal="center" wrapText="1"/>
    </xf>
    <xf numFmtId="0" fontId="6" fillId="0" borderId="0" xfId="5" applyFont="1"/>
    <xf numFmtId="0" fontId="10" fillId="0" borderId="1" xfId="5" applyFont="1" applyBorder="1" applyAlignment="1">
      <alignment horizontal="left" vertical="top" wrapText="1"/>
    </xf>
    <xf numFmtId="165" fontId="10" fillId="0" borderId="1" xfId="5" applyNumberFormat="1" applyFont="1" applyBorder="1" applyAlignment="1">
      <alignment horizontal="right" vertical="center"/>
    </xf>
    <xf numFmtId="9" fontId="10" fillId="0" borderId="1" xfId="1" applyFont="1" applyBorder="1" applyAlignment="1">
      <alignment horizontal="right" vertical="center"/>
    </xf>
    <xf numFmtId="0" fontId="10" fillId="0" borderId="1" xfId="7" applyFont="1" applyBorder="1" applyAlignment="1">
      <alignment horizontal="left" wrapText="1"/>
    </xf>
    <xf numFmtId="0" fontId="10" fillId="0" borderId="1" xfId="7" applyFont="1" applyBorder="1" applyAlignment="1">
      <alignment horizontal="center" wrapText="1"/>
    </xf>
    <xf numFmtId="0" fontId="10" fillId="0" borderId="1" xfId="7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horizontal="right" vertical="center"/>
    </xf>
    <xf numFmtId="0" fontId="10" fillId="0" borderId="1" xfId="8" applyFont="1" applyBorder="1" applyAlignment="1">
      <alignment horizontal="left" wrapText="1"/>
    </xf>
    <xf numFmtId="0" fontId="10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left" vertical="top" wrapText="1"/>
    </xf>
    <xf numFmtId="165" fontId="10" fillId="0" borderId="1" xfId="8" applyNumberFormat="1" applyFont="1" applyBorder="1" applyAlignment="1">
      <alignment horizontal="right" vertical="center"/>
    </xf>
    <xf numFmtId="0" fontId="6" fillId="0" borderId="1" xfId="10" applyFont="1" applyBorder="1"/>
    <xf numFmtId="0" fontId="10" fillId="0" borderId="0" xfId="10" applyFont="1" applyBorder="1" applyAlignment="1">
      <alignment vertical="top" wrapText="1"/>
    </xf>
    <xf numFmtId="0" fontId="6" fillId="0" borderId="0" xfId="10" applyFont="1"/>
    <xf numFmtId="164" fontId="10" fillId="0" borderId="1" xfId="1" applyNumberFormat="1" applyFont="1" applyBorder="1" applyAlignment="1">
      <alignment horizontal="right" vertical="center"/>
    </xf>
    <xf numFmtId="0" fontId="9" fillId="0" borderId="0" xfId="2" applyFont="1" applyBorder="1" applyAlignment="1">
      <alignment vertical="center" wrapText="1"/>
    </xf>
    <xf numFmtId="0" fontId="6" fillId="0" borderId="0" xfId="2" applyFont="1"/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horizontal="left" vertical="top"/>
    </xf>
    <xf numFmtId="165" fontId="10" fillId="0" borderId="1" xfId="2" applyNumberFormat="1" applyFont="1" applyBorder="1" applyAlignment="1">
      <alignment horizontal="right" vertical="center"/>
    </xf>
    <xf numFmtId="166" fontId="10" fillId="0" borderId="1" xfId="2" applyNumberFormat="1" applyFont="1" applyBorder="1" applyAlignment="1">
      <alignment horizontal="right" vertical="center"/>
    </xf>
    <xf numFmtId="167" fontId="10" fillId="0" borderId="1" xfId="2" applyNumberFormat="1" applyFont="1" applyBorder="1" applyAlignment="1">
      <alignment horizontal="right" vertical="center"/>
    </xf>
    <xf numFmtId="165" fontId="6" fillId="0" borderId="0" xfId="2" applyNumberFormat="1" applyFont="1"/>
    <xf numFmtId="0" fontId="10" fillId="0" borderId="1" xfId="2" applyFont="1" applyBorder="1" applyAlignment="1">
      <alignment horizontal="left" vertical="top" wrapText="1"/>
    </xf>
    <xf numFmtId="0" fontId="6" fillId="0" borderId="0" xfId="4" applyFont="1"/>
    <xf numFmtId="0" fontId="10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center" wrapText="1"/>
    </xf>
    <xf numFmtId="0" fontId="10" fillId="0" borderId="1" xfId="4" applyFont="1" applyBorder="1" applyAlignment="1">
      <alignment horizontal="left" vertical="top"/>
    </xf>
    <xf numFmtId="165" fontId="10" fillId="0" borderId="1" xfId="4" applyNumberFormat="1" applyFont="1" applyBorder="1" applyAlignment="1">
      <alignment horizontal="right" vertical="center"/>
    </xf>
    <xf numFmtId="166" fontId="10" fillId="0" borderId="1" xfId="4" applyNumberFormat="1" applyFont="1" applyBorder="1" applyAlignment="1">
      <alignment horizontal="right" vertical="center"/>
    </xf>
    <xf numFmtId="167" fontId="10" fillId="0" borderId="1" xfId="4" applyNumberFormat="1" applyFont="1" applyBorder="1" applyAlignment="1">
      <alignment horizontal="right" vertical="center"/>
    </xf>
    <xf numFmtId="165" fontId="6" fillId="0" borderId="0" xfId="4" applyNumberFormat="1" applyFont="1"/>
    <xf numFmtId="0" fontId="10" fillId="0" borderId="1" xfId="4" applyFont="1" applyBorder="1" applyAlignment="1">
      <alignment horizontal="left" vertical="top" wrapText="1"/>
    </xf>
    <xf numFmtId="0" fontId="10" fillId="0" borderId="1" xfId="6" applyFont="1" applyBorder="1" applyAlignment="1">
      <alignment horizontal="left" wrapText="1"/>
    </xf>
    <xf numFmtId="0" fontId="10" fillId="0" borderId="1" xfId="6" applyFont="1" applyBorder="1" applyAlignment="1">
      <alignment horizontal="center" wrapText="1"/>
    </xf>
    <xf numFmtId="9" fontId="10" fillId="0" borderId="1" xfId="1" applyFont="1" applyBorder="1" applyAlignment="1">
      <alignment horizontal="center" wrapText="1"/>
    </xf>
    <xf numFmtId="0" fontId="6" fillId="0" borderId="0" xfId="6" applyFont="1"/>
    <xf numFmtId="0" fontId="10" fillId="0" borderId="1" xfId="6" applyFont="1" applyBorder="1" applyAlignment="1">
      <alignment horizontal="left" vertical="top" wrapText="1"/>
    </xf>
    <xf numFmtId="165" fontId="10" fillId="0" borderId="1" xfId="6" applyNumberFormat="1" applyFont="1" applyBorder="1" applyAlignment="1">
      <alignment horizontal="right" vertical="center"/>
    </xf>
    <xf numFmtId="0" fontId="10" fillId="0" borderId="1" xfId="6" applyFont="1" applyBorder="1" applyAlignment="1">
      <alignment wrapText="1"/>
    </xf>
    <xf numFmtId="0" fontId="6" fillId="0" borderId="1" xfId="6" applyFont="1" applyBorder="1"/>
    <xf numFmtId="0" fontId="10" fillId="0" borderId="1" xfId="6" applyFont="1" applyBorder="1" applyAlignment="1">
      <alignment horizontal="left" vertical="top"/>
    </xf>
    <xf numFmtId="0" fontId="0" fillId="0" borderId="1" xfId="0" applyFont="1" applyBorder="1" applyAlignment="1"/>
    <xf numFmtId="0" fontId="0" fillId="0" borderId="1" xfId="0" applyNumberFormat="1" applyFont="1" applyBorder="1" applyAlignment="1"/>
    <xf numFmtId="0" fontId="0" fillId="0" borderId="1" xfId="0" applyNumberFormat="1" applyFont="1" applyBorder="1"/>
    <xf numFmtId="165" fontId="0" fillId="0" borderId="0" xfId="0" applyNumberFormat="1" applyFo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164" fontId="0" fillId="0" borderId="1" xfId="1" applyNumberFormat="1" applyFont="1" applyFill="1" applyBorder="1"/>
    <xf numFmtId="0" fontId="11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0" fontId="11" fillId="0" borderId="0" xfId="0" applyFont="1" applyFill="1" applyBorder="1"/>
    <xf numFmtId="0" fontId="10" fillId="0" borderId="1" xfId="2" applyFont="1" applyFill="1" applyBorder="1" applyAlignment="1">
      <alignment horizontal="left" vertical="top"/>
    </xf>
    <xf numFmtId="165" fontId="10" fillId="0" borderId="1" xfId="2" applyNumberFormat="1" applyFont="1" applyFill="1" applyBorder="1" applyAlignment="1">
      <alignment horizontal="right" vertical="center"/>
    </xf>
    <xf numFmtId="167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left" vertical="top"/>
    </xf>
    <xf numFmtId="165" fontId="10" fillId="0" borderId="3" xfId="2" applyNumberFormat="1" applyFont="1" applyFill="1" applyBorder="1" applyAlignment="1">
      <alignment horizontal="right" vertical="center"/>
    </xf>
    <xf numFmtId="167" fontId="10" fillId="0" borderId="3" xfId="2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left" vertical="top"/>
    </xf>
    <xf numFmtId="165" fontId="10" fillId="0" borderId="4" xfId="2" applyNumberFormat="1" applyFont="1" applyBorder="1" applyAlignment="1">
      <alignment horizontal="right" vertical="center"/>
    </xf>
    <xf numFmtId="167" fontId="10" fillId="0" borderId="4" xfId="2" applyNumberFormat="1" applyFont="1" applyBorder="1" applyAlignment="1">
      <alignment horizontal="right" vertical="center"/>
    </xf>
    <xf numFmtId="165" fontId="6" fillId="0" borderId="5" xfId="2" applyNumberFormat="1" applyFont="1" applyBorder="1"/>
    <xf numFmtId="164" fontId="0" fillId="0" borderId="6" xfId="1" applyNumberFormat="1" applyFont="1" applyBorder="1"/>
    <xf numFmtId="0" fontId="0" fillId="0" borderId="0" xfId="0" applyFont="1" applyAlignment="1"/>
    <xf numFmtId="10" fontId="0" fillId="0" borderId="1" xfId="0" applyNumberFormat="1" applyFont="1" applyBorder="1" applyAlignment="1">
      <alignment horizontal="right"/>
    </xf>
    <xf numFmtId="0" fontId="2" fillId="0" borderId="7" xfId="0" applyFont="1" applyBorder="1"/>
    <xf numFmtId="0" fontId="0" fillId="0" borderId="7" xfId="0" applyFont="1" applyBorder="1"/>
    <xf numFmtId="0" fontId="0" fillId="0" borderId="8" xfId="0" applyFont="1" applyBorder="1"/>
    <xf numFmtId="164" fontId="6" fillId="0" borderId="8" xfId="1" applyNumberFormat="1" applyFont="1" applyBorder="1"/>
    <xf numFmtId="0" fontId="6" fillId="0" borderId="7" xfId="0" applyFont="1" applyBorder="1"/>
    <xf numFmtId="0" fontId="1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0" xfId="4" applyFont="1" applyBorder="1" applyAlignment="1">
      <alignment horizontal="center" vertical="center" wrapText="1"/>
    </xf>
    <xf numFmtId="0" fontId="9" fillId="0" borderId="2" xfId="6" applyFont="1" applyBorder="1" applyAlignment="1">
      <alignment horizontal="left" vertical="center" wrapText="1"/>
    </xf>
    <xf numFmtId="0" fontId="10" fillId="0" borderId="0" xfId="8" applyFont="1" applyFill="1" applyBorder="1" applyAlignment="1">
      <alignment horizontal="left" vertical="top" wrapText="1"/>
    </xf>
  </cellXfs>
  <cellStyles count="12">
    <cellStyle name="Comma" xfId="9" builtinId="3"/>
    <cellStyle name="Hyperlink" xfId="3" builtinId="8"/>
    <cellStyle name="Normal" xfId="0" builtinId="0"/>
    <cellStyle name="Normal_5" xfId="7"/>
    <cellStyle name="Normal_Main Information Sheet" xfId="10"/>
    <cellStyle name="Normal_Question 1." xfId="2"/>
    <cellStyle name="Normal_Question 4." xfId="6"/>
    <cellStyle name="Normal_Sheet3" xfId="4"/>
    <cellStyle name="Normal_Sheet4" xfId="5"/>
    <cellStyle name="Normal_Sheet7" xfId="8"/>
    <cellStyle name="Normal_Sheet8" xfId="1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10</xdr:row>
      <xdr:rowOff>9526</xdr:rowOff>
    </xdr:from>
    <xdr:to>
      <xdr:col>6</xdr:col>
      <xdr:colOff>409575</xdr:colOff>
      <xdr:row>18</xdr:row>
      <xdr:rowOff>19050</xdr:rowOff>
    </xdr:to>
    <xdr:sp macro="" textlink="">
      <xdr:nvSpPr>
        <xdr:cNvPr id="2" name="TextBox 1"/>
        <xdr:cNvSpPr txBox="1"/>
      </xdr:nvSpPr>
      <xdr:spPr>
        <a:xfrm>
          <a:off x="9020175" y="2009776"/>
          <a:ext cx="2800350" cy="1533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 </a:t>
          </a:r>
          <a:r>
            <a:rPr lang="en-US" sz="1100" baseline="0"/>
            <a:t>The additional tabs in this workbook contain supplemental data related to a question or module. For example, tab 1 includes additional data related to question 1.</a:t>
          </a:r>
        </a:p>
        <a:p>
          <a:endParaRPr lang="en-US" sz="1100" baseline="0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the questions to link directly to the corresponding tab with additional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(if available).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2"/>
  <sheetViews>
    <sheetView tabSelected="1" workbookViewId="0">
      <selection activeCell="A18" sqref="A18"/>
    </sheetView>
  </sheetViews>
  <sheetFormatPr defaultRowHeight="15" x14ac:dyDescent="0.25"/>
  <cols>
    <col min="1" max="1" width="79.28515625" style="56" customWidth="1"/>
    <col min="2" max="2" width="19.5703125" style="56" customWidth="1"/>
    <col min="3" max="3" width="16.5703125" style="56" customWidth="1"/>
    <col min="4" max="4" width="20" style="56" bestFit="1" customWidth="1"/>
    <col min="5" max="6" width="17.85546875" style="56" bestFit="1" customWidth="1"/>
    <col min="7" max="7" width="14.140625" style="56" bestFit="1" customWidth="1"/>
    <col min="8" max="16384" width="9.140625" style="56"/>
  </cols>
  <sheetData>
    <row r="1" spans="1:7" ht="18.75" x14ac:dyDescent="0.3">
      <c r="A1" s="146" t="s">
        <v>1</v>
      </c>
      <c r="B1" s="146"/>
      <c r="C1" s="146"/>
      <c r="D1" s="146"/>
      <c r="E1" s="146"/>
      <c r="F1" s="146"/>
      <c r="G1" s="146"/>
    </row>
    <row r="2" spans="1:7" ht="18.75" x14ac:dyDescent="0.3">
      <c r="A2" s="146" t="s">
        <v>7</v>
      </c>
      <c r="B2" s="146"/>
      <c r="C2" s="146"/>
      <c r="D2" s="146"/>
      <c r="E2" s="146"/>
      <c r="F2" s="146"/>
      <c r="G2" s="146"/>
    </row>
    <row r="3" spans="1:7" x14ac:dyDescent="0.25">
      <c r="B3" s="139"/>
      <c r="C3" s="139"/>
      <c r="D3" s="139"/>
      <c r="E3" s="139"/>
      <c r="F3" s="139"/>
    </row>
    <row r="4" spans="1:7" x14ac:dyDescent="0.25">
      <c r="A4" s="148" t="s">
        <v>0</v>
      </c>
      <c r="B4" s="148"/>
      <c r="C4" s="148"/>
      <c r="D4" s="148"/>
      <c r="E4" s="148"/>
      <c r="F4" s="148"/>
    </row>
    <row r="5" spans="1:7" x14ac:dyDescent="0.25">
      <c r="A5" s="57" t="s">
        <v>2</v>
      </c>
      <c r="B5" s="58" t="s">
        <v>838</v>
      </c>
      <c r="C5" s="58" t="s">
        <v>5</v>
      </c>
      <c r="D5" s="58" t="s">
        <v>3</v>
      </c>
      <c r="E5" s="58" t="s">
        <v>4</v>
      </c>
      <c r="F5" s="58" t="s">
        <v>6</v>
      </c>
    </row>
    <row r="6" spans="1:7" x14ac:dyDescent="0.25">
      <c r="A6" s="58">
        <v>1522</v>
      </c>
      <c r="B6" s="58">
        <v>1115</v>
      </c>
      <c r="C6" s="58">
        <v>471</v>
      </c>
      <c r="D6" s="58">
        <v>189</v>
      </c>
      <c r="E6" s="58">
        <v>218</v>
      </c>
      <c r="F6" s="5">
        <f>(D6+E6)/A6</f>
        <v>0.26741130091984233</v>
      </c>
    </row>
    <row r="9" spans="1:7" x14ac:dyDescent="0.25">
      <c r="A9" s="59" t="s">
        <v>8</v>
      </c>
    </row>
    <row r="10" spans="1:7" x14ac:dyDescent="0.25">
      <c r="A10" s="58" t="s">
        <v>62</v>
      </c>
      <c r="B10" s="63" t="s">
        <v>78</v>
      </c>
    </row>
    <row r="11" spans="1:7" x14ac:dyDescent="0.25">
      <c r="A11" s="58" t="s">
        <v>63</v>
      </c>
      <c r="B11" s="140">
        <v>0.32400000000000001</v>
      </c>
    </row>
    <row r="12" spans="1:7" x14ac:dyDescent="0.25">
      <c r="A12" s="58" t="s">
        <v>64</v>
      </c>
      <c r="B12" s="140">
        <v>0.67600000000000005</v>
      </c>
    </row>
    <row r="13" spans="1:7" x14ac:dyDescent="0.25">
      <c r="B13" s="121"/>
    </row>
    <row r="14" spans="1:7" x14ac:dyDescent="0.25">
      <c r="A14" s="59" t="s">
        <v>9</v>
      </c>
      <c r="B14" s="120"/>
    </row>
    <row r="15" spans="1:7" x14ac:dyDescent="0.25">
      <c r="A15" s="58" t="s">
        <v>62</v>
      </c>
      <c r="B15" s="63" t="s">
        <v>78</v>
      </c>
    </row>
    <row r="16" spans="1:7" x14ac:dyDescent="0.25">
      <c r="A16" s="58" t="s">
        <v>65</v>
      </c>
      <c r="B16" s="140">
        <v>0.245</v>
      </c>
    </row>
    <row r="17" spans="1:4" x14ac:dyDescent="0.25">
      <c r="A17" s="58" t="s">
        <v>64</v>
      </c>
      <c r="B17" s="140">
        <v>0.755</v>
      </c>
    </row>
    <row r="19" spans="1:4" x14ac:dyDescent="0.25">
      <c r="A19" s="3" t="s">
        <v>66</v>
      </c>
    </row>
    <row r="20" spans="1:4" x14ac:dyDescent="0.25">
      <c r="A20" s="59"/>
    </row>
    <row r="21" spans="1:4" x14ac:dyDescent="0.25">
      <c r="A21" s="70" t="s">
        <v>72</v>
      </c>
      <c r="B21" s="71" t="s">
        <v>10</v>
      </c>
      <c r="C21" s="58" t="s">
        <v>78</v>
      </c>
      <c r="D21" s="72"/>
    </row>
    <row r="22" spans="1:4" x14ac:dyDescent="0.25">
      <c r="A22" s="73" t="s">
        <v>71</v>
      </c>
      <c r="B22" s="74">
        <v>82</v>
      </c>
      <c r="C22" s="75">
        <f t="shared" ref="C22:C27" si="0">B22/$B$27</f>
        <v>0.20147420147420148</v>
      </c>
      <c r="D22" s="72"/>
    </row>
    <row r="23" spans="1:4" x14ac:dyDescent="0.25">
      <c r="A23" s="73" t="s">
        <v>68</v>
      </c>
      <c r="B23" s="74">
        <v>97</v>
      </c>
      <c r="C23" s="75">
        <f t="shared" si="0"/>
        <v>0.23832923832923833</v>
      </c>
      <c r="D23" s="72"/>
    </row>
    <row r="24" spans="1:4" x14ac:dyDescent="0.25">
      <c r="A24" s="73" t="s">
        <v>67</v>
      </c>
      <c r="B24" s="74">
        <v>53</v>
      </c>
      <c r="C24" s="75">
        <f t="shared" si="0"/>
        <v>0.13022113022113022</v>
      </c>
      <c r="D24" s="72"/>
    </row>
    <row r="25" spans="1:4" x14ac:dyDescent="0.25">
      <c r="A25" s="73" t="s">
        <v>69</v>
      </c>
      <c r="B25" s="74">
        <v>101</v>
      </c>
      <c r="C25" s="75">
        <f t="shared" si="0"/>
        <v>0.24815724815724816</v>
      </c>
      <c r="D25" s="72"/>
    </row>
    <row r="26" spans="1:4" x14ac:dyDescent="0.25">
      <c r="A26" s="73" t="s">
        <v>70</v>
      </c>
      <c r="B26" s="74">
        <v>74</v>
      </c>
      <c r="C26" s="75">
        <f t="shared" si="0"/>
        <v>0.18181818181818182</v>
      </c>
      <c r="D26" s="72"/>
    </row>
    <row r="27" spans="1:4" x14ac:dyDescent="0.25">
      <c r="A27" s="73" t="s">
        <v>53</v>
      </c>
      <c r="B27" s="74">
        <f>SUM(B22:B26)</f>
        <v>407</v>
      </c>
      <c r="C27" s="75">
        <f t="shared" si="0"/>
        <v>1</v>
      </c>
      <c r="D27" s="72"/>
    </row>
    <row r="28" spans="1:4" x14ac:dyDescent="0.25">
      <c r="A28" s="59"/>
    </row>
    <row r="29" spans="1:4" x14ac:dyDescent="0.25">
      <c r="A29" s="59" t="s">
        <v>73</v>
      </c>
    </row>
    <row r="30" spans="1:4" x14ac:dyDescent="0.25">
      <c r="A30" s="59"/>
    </row>
    <row r="31" spans="1:4" x14ac:dyDescent="0.25">
      <c r="A31" s="61"/>
      <c r="B31" s="58" t="s">
        <v>10</v>
      </c>
      <c r="C31" s="58" t="s">
        <v>78</v>
      </c>
    </row>
    <row r="32" spans="1:4" x14ac:dyDescent="0.25">
      <c r="A32" s="21" t="s">
        <v>74</v>
      </c>
      <c r="B32" s="58">
        <v>178</v>
      </c>
      <c r="C32" s="5">
        <v>0.43734643734643736</v>
      </c>
    </row>
    <row r="33" spans="1:3" x14ac:dyDescent="0.25">
      <c r="A33" s="21" t="s">
        <v>75</v>
      </c>
      <c r="B33" s="58">
        <v>57</v>
      </c>
      <c r="C33" s="5">
        <v>0.14004914004914004</v>
      </c>
    </row>
    <row r="34" spans="1:3" x14ac:dyDescent="0.25">
      <c r="A34" s="21" t="s">
        <v>76</v>
      </c>
      <c r="B34" s="58">
        <v>172</v>
      </c>
      <c r="C34" s="5">
        <v>0.4226044226044226</v>
      </c>
    </row>
    <row r="35" spans="1:3" x14ac:dyDescent="0.25">
      <c r="A35" s="21" t="s">
        <v>53</v>
      </c>
      <c r="B35" s="58">
        <v>407</v>
      </c>
      <c r="C35" s="5">
        <v>1</v>
      </c>
    </row>
    <row r="36" spans="1:3" x14ac:dyDescent="0.25">
      <c r="A36" s="59"/>
    </row>
    <row r="37" spans="1:3" x14ac:dyDescent="0.25">
      <c r="A37" s="59" t="s">
        <v>77</v>
      </c>
    </row>
    <row r="39" spans="1:3" x14ac:dyDescent="0.25">
      <c r="A39" s="3" t="s">
        <v>79</v>
      </c>
    </row>
    <row r="40" spans="1:3" x14ac:dyDescent="0.25">
      <c r="A40" s="76"/>
      <c r="B40" s="77" t="s">
        <v>10</v>
      </c>
      <c r="C40" s="25" t="s">
        <v>78</v>
      </c>
    </row>
    <row r="41" spans="1:3" x14ac:dyDescent="0.25">
      <c r="A41" s="78" t="s">
        <v>80</v>
      </c>
      <c r="B41" s="79">
        <v>387</v>
      </c>
      <c r="C41" s="25">
        <f>B41/B43</f>
        <v>0.99485861182519275</v>
      </c>
    </row>
    <row r="42" spans="1:3" x14ac:dyDescent="0.25">
      <c r="A42" s="78" t="s">
        <v>81</v>
      </c>
      <c r="B42" s="79">
        <v>2</v>
      </c>
      <c r="C42" s="25">
        <f>B42/B43</f>
        <v>5.1413881748071976E-3</v>
      </c>
    </row>
    <row r="43" spans="1:3" x14ac:dyDescent="0.25">
      <c r="A43" s="78" t="s">
        <v>53</v>
      </c>
      <c r="B43" s="79">
        <f>SUM(B41:B42)</f>
        <v>389</v>
      </c>
      <c r="C43" s="25">
        <f>B43/B43</f>
        <v>1</v>
      </c>
    </row>
    <row r="45" spans="1:3" x14ac:dyDescent="0.25">
      <c r="A45" s="59" t="s">
        <v>82</v>
      </c>
    </row>
    <row r="46" spans="1:3" x14ac:dyDescent="0.25">
      <c r="A46" s="80"/>
      <c r="B46" s="81" t="s">
        <v>10</v>
      </c>
      <c r="C46" s="25" t="s">
        <v>78</v>
      </c>
    </row>
    <row r="47" spans="1:3" x14ac:dyDescent="0.25">
      <c r="A47" s="82" t="s">
        <v>80</v>
      </c>
      <c r="B47" s="83">
        <v>121</v>
      </c>
      <c r="C47" s="25">
        <f>B47/$B$49</f>
        <v>0.29729729729729731</v>
      </c>
    </row>
    <row r="48" spans="1:3" x14ac:dyDescent="0.25">
      <c r="A48" s="82" t="s">
        <v>81</v>
      </c>
      <c r="B48" s="83">
        <v>286</v>
      </c>
      <c r="C48" s="25">
        <f>B48/$B$49</f>
        <v>0.70270270270270274</v>
      </c>
    </row>
    <row r="49" spans="1:3" x14ac:dyDescent="0.25">
      <c r="A49" s="82" t="s">
        <v>53</v>
      </c>
      <c r="B49" s="83">
        <f>SUM(B47:B48)</f>
        <v>407</v>
      </c>
      <c r="C49" s="25">
        <f>B49/$B$49</f>
        <v>1</v>
      </c>
    </row>
    <row r="50" spans="1:3" ht="15.75" thickBot="1" x14ac:dyDescent="0.3"/>
    <row r="51" spans="1:3" s="142" customFormat="1" ht="15.75" thickTop="1" x14ac:dyDescent="0.25">
      <c r="A51" s="141" t="s">
        <v>83</v>
      </c>
    </row>
    <row r="52" spans="1:3" x14ac:dyDescent="0.25">
      <c r="A52" s="59" t="s">
        <v>85</v>
      </c>
    </row>
    <row r="53" spans="1:3" x14ac:dyDescent="0.25">
      <c r="A53" s="17"/>
    </row>
    <row r="54" spans="1:3" x14ac:dyDescent="0.25">
      <c r="A54" s="22"/>
      <c r="B54" s="58" t="s">
        <v>10</v>
      </c>
      <c r="C54" s="58" t="s">
        <v>78</v>
      </c>
    </row>
    <row r="55" spans="1:3" x14ac:dyDescent="0.25">
      <c r="A55" s="21" t="s">
        <v>80</v>
      </c>
      <c r="B55" s="58">
        <v>46</v>
      </c>
      <c r="C55" s="5">
        <v>0.40707964601769914</v>
      </c>
    </row>
    <row r="56" spans="1:3" x14ac:dyDescent="0.25">
      <c r="A56" s="21" t="s">
        <v>81</v>
      </c>
      <c r="B56" s="58">
        <v>67</v>
      </c>
      <c r="C56" s="5">
        <v>0.59292035398230092</v>
      </c>
    </row>
    <row r="57" spans="1:3" x14ac:dyDescent="0.25">
      <c r="A57" s="21" t="s">
        <v>53</v>
      </c>
      <c r="B57" s="58">
        <v>113</v>
      </c>
      <c r="C57" s="5">
        <v>1</v>
      </c>
    </row>
    <row r="59" spans="1:3" x14ac:dyDescent="0.25">
      <c r="A59" s="59" t="s">
        <v>86</v>
      </c>
    </row>
    <row r="60" spans="1:3" s="23" customFormat="1" x14ac:dyDescent="0.25">
      <c r="A60" s="16"/>
    </row>
    <row r="61" spans="1:3" s="23" customFormat="1" x14ac:dyDescent="0.25">
      <c r="A61" s="21"/>
      <c r="B61" s="24" t="s">
        <v>10</v>
      </c>
      <c r="C61" s="24" t="s">
        <v>78</v>
      </c>
    </row>
    <row r="62" spans="1:3" s="23" customFormat="1" x14ac:dyDescent="0.25">
      <c r="A62" s="21" t="s">
        <v>80</v>
      </c>
      <c r="B62" s="24">
        <v>67</v>
      </c>
      <c r="C62" s="25">
        <v>0.58771929824561409</v>
      </c>
    </row>
    <row r="63" spans="1:3" s="23" customFormat="1" x14ac:dyDescent="0.25">
      <c r="A63" s="21" t="s">
        <v>81</v>
      </c>
      <c r="B63" s="24">
        <v>47</v>
      </c>
      <c r="C63" s="25">
        <v>0.41228070175438597</v>
      </c>
    </row>
    <row r="64" spans="1:3" s="23" customFormat="1" x14ac:dyDescent="0.25">
      <c r="A64" s="21" t="s">
        <v>53</v>
      </c>
      <c r="B64" s="24">
        <v>114</v>
      </c>
      <c r="C64" s="25">
        <v>1</v>
      </c>
    </row>
    <row r="65" spans="1:3" x14ac:dyDescent="0.25">
      <c r="B65" s="60"/>
    </row>
    <row r="66" spans="1:3" x14ac:dyDescent="0.25">
      <c r="A66" s="59" t="s">
        <v>88</v>
      </c>
      <c r="B66" s="60"/>
    </row>
    <row r="67" spans="1:3" x14ac:dyDescent="0.25">
      <c r="A67" s="17"/>
      <c r="B67" s="60"/>
    </row>
    <row r="68" spans="1:3" s="23" customFormat="1" x14ac:dyDescent="0.25">
      <c r="A68" s="21"/>
      <c r="B68" s="24" t="s">
        <v>10</v>
      </c>
      <c r="C68" s="24" t="s">
        <v>78</v>
      </c>
    </row>
    <row r="69" spans="1:3" s="23" customFormat="1" x14ac:dyDescent="0.25">
      <c r="A69" s="21" t="s">
        <v>89</v>
      </c>
      <c r="B69" s="24">
        <v>4</v>
      </c>
      <c r="C69" s="25">
        <v>8.5106382978723402E-2</v>
      </c>
    </row>
    <row r="70" spans="1:3" s="23" customFormat="1" x14ac:dyDescent="0.25">
      <c r="A70" s="21" t="s">
        <v>90</v>
      </c>
      <c r="B70" s="24">
        <v>10</v>
      </c>
      <c r="C70" s="25">
        <v>0.21276595744680851</v>
      </c>
    </row>
    <row r="71" spans="1:3" s="23" customFormat="1" x14ac:dyDescent="0.25">
      <c r="A71" s="21" t="s">
        <v>91</v>
      </c>
      <c r="B71" s="24">
        <v>7</v>
      </c>
      <c r="C71" s="25">
        <v>0.14893617021276595</v>
      </c>
    </row>
    <row r="72" spans="1:3" s="23" customFormat="1" x14ac:dyDescent="0.25">
      <c r="A72" s="21" t="s">
        <v>92</v>
      </c>
      <c r="B72" s="24">
        <v>15</v>
      </c>
      <c r="C72" s="25">
        <v>0.31914893617021278</v>
      </c>
    </row>
    <row r="73" spans="1:3" s="23" customFormat="1" x14ac:dyDescent="0.25">
      <c r="A73" s="21" t="s">
        <v>93</v>
      </c>
      <c r="B73" s="24">
        <v>11</v>
      </c>
      <c r="C73" s="25">
        <v>0.23404255319148937</v>
      </c>
    </row>
    <row r="74" spans="1:3" s="23" customFormat="1" x14ac:dyDescent="0.25">
      <c r="A74" s="21" t="s">
        <v>53</v>
      </c>
      <c r="B74" s="24">
        <v>47</v>
      </c>
      <c r="C74" s="25">
        <v>1</v>
      </c>
    </row>
    <row r="76" spans="1:3" x14ac:dyDescent="0.25">
      <c r="A76" s="59" t="s">
        <v>87</v>
      </c>
    </row>
    <row r="77" spans="1:3" x14ac:dyDescent="0.25">
      <c r="B77" s="60"/>
    </row>
    <row r="78" spans="1:3" x14ac:dyDescent="0.25">
      <c r="A78" s="58"/>
      <c r="B78" s="62" t="s">
        <v>10</v>
      </c>
      <c r="C78" s="58" t="s">
        <v>78</v>
      </c>
    </row>
    <row r="79" spans="1:3" x14ac:dyDescent="0.25">
      <c r="A79" s="58" t="s">
        <v>80</v>
      </c>
      <c r="B79" s="26">
        <v>62</v>
      </c>
      <c r="C79" s="5">
        <v>0.54385964912280704</v>
      </c>
    </row>
    <row r="80" spans="1:3" x14ac:dyDescent="0.25">
      <c r="A80" s="58" t="s">
        <v>81</v>
      </c>
      <c r="B80" s="26">
        <v>52</v>
      </c>
      <c r="C80" s="5">
        <v>0.45614035087719296</v>
      </c>
    </row>
    <row r="81" spans="1:5" s="23" customFormat="1" x14ac:dyDescent="0.25">
      <c r="A81" s="21" t="s">
        <v>53</v>
      </c>
      <c r="B81" s="24">
        <v>114</v>
      </c>
      <c r="C81" s="25">
        <v>1</v>
      </c>
    </row>
    <row r="82" spans="1:5" s="23" customFormat="1" x14ac:dyDescent="0.25">
      <c r="A82" s="16"/>
    </row>
    <row r="83" spans="1:5" x14ac:dyDescent="0.25">
      <c r="A83" s="59" t="s">
        <v>95</v>
      </c>
    </row>
    <row r="84" spans="1:5" x14ac:dyDescent="0.25">
      <c r="A84" s="17"/>
    </row>
    <row r="85" spans="1:5" x14ac:dyDescent="0.25">
      <c r="A85" s="58"/>
      <c r="B85" s="58" t="s">
        <v>97</v>
      </c>
      <c r="C85" s="58" t="s">
        <v>208</v>
      </c>
      <c r="D85" s="5" t="s">
        <v>99</v>
      </c>
      <c r="E85" s="5" t="s">
        <v>100</v>
      </c>
    </row>
    <row r="86" spans="1:5" x14ac:dyDescent="0.25">
      <c r="A86" s="58" t="s">
        <v>96</v>
      </c>
      <c r="B86" s="5">
        <v>0.37142857142857144</v>
      </c>
      <c r="C86" s="5">
        <v>0.26666666666666666</v>
      </c>
      <c r="D86" s="5">
        <v>0.20952380952380953</v>
      </c>
      <c r="E86" s="5">
        <v>0.15238095238095239</v>
      </c>
    </row>
    <row r="87" spans="1:5" x14ac:dyDescent="0.25">
      <c r="A87" s="58" t="s">
        <v>101</v>
      </c>
      <c r="B87" s="5">
        <v>0.19047619047619047</v>
      </c>
      <c r="C87" s="5">
        <v>0.30476190476190479</v>
      </c>
      <c r="D87" s="5">
        <v>0.2857142857142857</v>
      </c>
      <c r="E87" s="5">
        <v>0.21904761904761905</v>
      </c>
    </row>
    <row r="88" spans="1:5" x14ac:dyDescent="0.25">
      <c r="A88" s="58" t="s">
        <v>102</v>
      </c>
      <c r="B88" s="5">
        <v>0.21359223300970873</v>
      </c>
      <c r="C88" s="5">
        <v>0.26213592233009708</v>
      </c>
      <c r="D88" s="5">
        <v>0.23300970873786409</v>
      </c>
      <c r="E88" s="5">
        <v>0.29126213592233008</v>
      </c>
    </row>
    <row r="89" spans="1:5" x14ac:dyDescent="0.25">
      <c r="A89" s="58" t="s">
        <v>802</v>
      </c>
      <c r="B89" s="5">
        <v>1.9607843137254902E-2</v>
      </c>
      <c r="C89" s="5">
        <v>3.9215686274509803E-2</v>
      </c>
      <c r="D89" s="5">
        <v>3.9215686274509803E-2</v>
      </c>
      <c r="E89" s="5">
        <v>0.90196078431372551</v>
      </c>
    </row>
    <row r="90" spans="1:5" x14ac:dyDescent="0.25">
      <c r="A90" s="58" t="s">
        <v>803</v>
      </c>
      <c r="B90" s="5">
        <v>0.50495049504950495</v>
      </c>
      <c r="C90" s="5">
        <v>0.34653465346534651</v>
      </c>
      <c r="D90" s="5">
        <v>7.9207920792079209E-2</v>
      </c>
      <c r="E90" s="5">
        <v>6.9306930693069313E-2</v>
      </c>
    </row>
    <row r="91" spans="1:5" x14ac:dyDescent="0.25">
      <c r="A91" s="58" t="s">
        <v>103</v>
      </c>
      <c r="B91" s="5">
        <v>0.37254901960784315</v>
      </c>
      <c r="C91" s="5">
        <v>0.19607843137254902</v>
      </c>
      <c r="D91" s="5">
        <v>0.17647058823529413</v>
      </c>
      <c r="E91" s="5">
        <v>0.25490196078431371</v>
      </c>
    </row>
    <row r="92" spans="1:5" x14ac:dyDescent="0.25">
      <c r="A92" s="58" t="s">
        <v>104</v>
      </c>
      <c r="B92" s="5">
        <v>0.86407766990291257</v>
      </c>
      <c r="C92" s="5">
        <v>7.7669902912621352E-2</v>
      </c>
      <c r="D92" s="5">
        <v>3.8834951456310676E-2</v>
      </c>
      <c r="E92" s="5">
        <v>1.9417475728155338E-2</v>
      </c>
    </row>
    <row r="94" spans="1:5" x14ac:dyDescent="0.25">
      <c r="A94" s="59" t="s">
        <v>804</v>
      </c>
    </row>
    <row r="95" spans="1:5" x14ac:dyDescent="0.25">
      <c r="A95" s="17"/>
    </row>
    <row r="96" spans="1:5" s="23" customFormat="1" x14ac:dyDescent="0.25">
      <c r="A96" s="21"/>
      <c r="B96" s="24" t="s">
        <v>78</v>
      </c>
    </row>
    <row r="97" spans="1:5" s="23" customFormat="1" x14ac:dyDescent="0.25">
      <c r="A97" s="58" t="s">
        <v>107</v>
      </c>
      <c r="B97" s="25">
        <v>2.2113022113022112E-2</v>
      </c>
    </row>
    <row r="98" spans="1:5" s="23" customFormat="1" x14ac:dyDescent="0.25">
      <c r="A98" s="58" t="s">
        <v>108</v>
      </c>
      <c r="B98" s="25">
        <v>0.15724815724815724</v>
      </c>
    </row>
    <row r="99" spans="1:5" s="23" customFormat="1" x14ac:dyDescent="0.25">
      <c r="A99" s="58" t="s">
        <v>109</v>
      </c>
      <c r="B99" s="25">
        <v>7.6167076167076173E-2</v>
      </c>
    </row>
    <row r="100" spans="1:5" s="23" customFormat="1" x14ac:dyDescent="0.25">
      <c r="A100" s="58" t="s">
        <v>110</v>
      </c>
      <c r="B100" s="25">
        <v>0.25061425061425063</v>
      </c>
    </row>
    <row r="101" spans="1:5" s="23" customFormat="1" x14ac:dyDescent="0.25">
      <c r="A101" s="58" t="s">
        <v>111</v>
      </c>
      <c r="B101" s="25">
        <v>4.1769041769041768E-2</v>
      </c>
    </row>
    <row r="102" spans="1:5" s="23" customFormat="1" x14ac:dyDescent="0.25">
      <c r="A102" s="58" t="s">
        <v>112</v>
      </c>
      <c r="B102" s="25">
        <v>1.4742014742014743E-2</v>
      </c>
    </row>
    <row r="103" spans="1:5" s="23" customFormat="1" x14ac:dyDescent="0.25">
      <c r="A103" s="58" t="s">
        <v>113</v>
      </c>
      <c r="B103" s="25">
        <v>0.17936117936117937</v>
      </c>
    </row>
    <row r="104" spans="1:5" x14ac:dyDescent="0.25">
      <c r="B104" s="2"/>
    </row>
    <row r="105" spans="1:5" x14ac:dyDescent="0.25">
      <c r="A105" s="17" t="s">
        <v>114</v>
      </c>
    </row>
    <row r="107" spans="1:5" x14ac:dyDescent="0.25">
      <c r="A107" s="58" t="s">
        <v>115</v>
      </c>
      <c r="B107" s="58" t="s">
        <v>97</v>
      </c>
      <c r="C107" s="58" t="s">
        <v>98</v>
      </c>
      <c r="D107" s="5" t="s">
        <v>99</v>
      </c>
      <c r="E107" s="5" t="s">
        <v>100</v>
      </c>
    </row>
    <row r="108" spans="1:5" x14ac:dyDescent="0.25">
      <c r="A108" s="58" t="s">
        <v>116</v>
      </c>
      <c r="B108" s="5">
        <v>0.18269230769230768</v>
      </c>
      <c r="C108" s="5">
        <v>0.45192307692307693</v>
      </c>
      <c r="D108" s="5">
        <v>0.19230769230769232</v>
      </c>
      <c r="E108" s="5">
        <v>0.17307692307692307</v>
      </c>
    </row>
    <row r="109" spans="1:5" x14ac:dyDescent="0.25">
      <c r="A109" s="58" t="s">
        <v>117</v>
      </c>
      <c r="B109" s="5">
        <v>3.5830618892508145E-2</v>
      </c>
      <c r="C109" s="5">
        <v>3.2573289902280131E-2</v>
      </c>
      <c r="D109" s="5">
        <v>2.3887079261672096E-2</v>
      </c>
      <c r="E109" s="5">
        <v>7.6004343105320303E-3</v>
      </c>
    </row>
    <row r="110" spans="1:5" x14ac:dyDescent="0.25">
      <c r="A110" s="58" t="s">
        <v>118</v>
      </c>
      <c r="B110" s="5">
        <v>0.59</v>
      </c>
      <c r="C110" s="5">
        <v>0.37</v>
      </c>
      <c r="D110" s="5">
        <v>0.03</v>
      </c>
      <c r="E110" s="5">
        <v>0.01</v>
      </c>
    </row>
    <row r="111" spans="1:5" x14ac:dyDescent="0.25">
      <c r="A111" s="58" t="s">
        <v>805</v>
      </c>
      <c r="B111" s="5">
        <v>0.38613861386138615</v>
      </c>
      <c r="C111" s="5">
        <v>0.41584158415841582</v>
      </c>
      <c r="D111" s="5">
        <v>0.13861386138613863</v>
      </c>
      <c r="E111" s="5">
        <v>5.9405940594059403E-2</v>
      </c>
    </row>
    <row r="112" spans="1:5" x14ac:dyDescent="0.25">
      <c r="A112" s="58" t="s">
        <v>119</v>
      </c>
      <c r="B112" s="5">
        <v>0.61386138613861385</v>
      </c>
      <c r="C112" s="5">
        <v>0.30693069306930693</v>
      </c>
      <c r="D112" s="5">
        <v>7.9207920792079209E-2</v>
      </c>
      <c r="E112" s="5">
        <v>0</v>
      </c>
    </row>
    <row r="113" spans="1:5" x14ac:dyDescent="0.25">
      <c r="A113" s="58" t="s">
        <v>120</v>
      </c>
      <c r="B113" s="5">
        <v>0.25714285714285712</v>
      </c>
      <c r="C113" s="5">
        <v>0.47619047619047616</v>
      </c>
      <c r="D113" s="5">
        <v>0.2</v>
      </c>
      <c r="E113" s="5">
        <v>6.6666666666666666E-2</v>
      </c>
    </row>
    <row r="114" spans="1:5" x14ac:dyDescent="0.25">
      <c r="A114" s="58" t="s">
        <v>121</v>
      </c>
      <c r="B114" s="5">
        <v>3.8834951456310676E-2</v>
      </c>
      <c r="C114" s="5">
        <v>0.11650485436893204</v>
      </c>
      <c r="D114" s="5">
        <v>0.37864077669902912</v>
      </c>
      <c r="E114" s="5">
        <v>0.46601941747572817</v>
      </c>
    </row>
    <row r="115" spans="1:5" x14ac:dyDescent="0.25">
      <c r="A115" s="58" t="s">
        <v>122</v>
      </c>
      <c r="B115" s="5">
        <v>6.7961165048543687E-2</v>
      </c>
      <c r="C115" s="5">
        <v>0.31067961165048541</v>
      </c>
      <c r="D115" s="5">
        <v>0.35922330097087379</v>
      </c>
      <c r="E115" s="5">
        <v>0.26213592233009708</v>
      </c>
    </row>
    <row r="116" spans="1:5" x14ac:dyDescent="0.25">
      <c r="A116" s="58" t="s">
        <v>123</v>
      </c>
      <c r="B116" s="5">
        <v>0.36893203883495146</v>
      </c>
      <c r="C116" s="5">
        <v>0.46601941747572817</v>
      </c>
      <c r="D116" s="5">
        <v>0.11650485436893204</v>
      </c>
      <c r="E116" s="5">
        <v>4.8543689320388349E-2</v>
      </c>
    </row>
    <row r="117" spans="1:5" x14ac:dyDescent="0.25">
      <c r="A117" s="58" t="s">
        <v>124</v>
      </c>
      <c r="B117" s="5">
        <v>0.28846153846153844</v>
      </c>
      <c r="C117" s="5">
        <v>0.50961538461538458</v>
      </c>
      <c r="D117" s="5">
        <v>0.125</v>
      </c>
      <c r="E117" s="5">
        <v>7.6923076923076927E-2</v>
      </c>
    </row>
    <row r="118" spans="1:5" x14ac:dyDescent="0.25">
      <c r="A118" s="58" t="s">
        <v>125</v>
      </c>
      <c r="B118" s="5">
        <v>9.6153846153846159E-2</v>
      </c>
      <c r="C118" s="5">
        <v>0.28846153846153844</v>
      </c>
      <c r="D118" s="5">
        <v>0.24038461538461539</v>
      </c>
      <c r="E118" s="5">
        <v>0.375</v>
      </c>
    </row>
    <row r="119" spans="1:5" x14ac:dyDescent="0.25">
      <c r="A119" s="58" t="s">
        <v>126</v>
      </c>
      <c r="B119" s="5">
        <v>0.41747572815533979</v>
      </c>
      <c r="C119" s="5">
        <v>0.37864077669902912</v>
      </c>
      <c r="D119" s="5">
        <v>7.7669902912621352E-2</v>
      </c>
      <c r="E119" s="5">
        <v>0.12621359223300971</v>
      </c>
    </row>
    <row r="120" spans="1:5" x14ac:dyDescent="0.25">
      <c r="A120" s="58" t="s">
        <v>127</v>
      </c>
      <c r="B120" s="5">
        <v>0.11764705882352941</v>
      </c>
      <c r="C120" s="5">
        <v>0.26470588235294118</v>
      </c>
      <c r="D120" s="5">
        <v>0.24509803921568626</v>
      </c>
      <c r="E120" s="5">
        <v>0.37254901960784315</v>
      </c>
    </row>
    <row r="121" spans="1:5" x14ac:dyDescent="0.25">
      <c r="B121" s="2"/>
      <c r="C121" s="2"/>
    </row>
    <row r="122" spans="1:5" x14ac:dyDescent="0.25">
      <c r="A122" s="17" t="s">
        <v>128</v>
      </c>
    </row>
    <row r="123" spans="1:5" x14ac:dyDescent="0.25">
      <c r="A123" s="17"/>
    </row>
    <row r="124" spans="1:5" x14ac:dyDescent="0.25">
      <c r="A124" s="58"/>
      <c r="B124" s="58" t="s">
        <v>78</v>
      </c>
    </row>
    <row r="125" spans="1:5" x14ac:dyDescent="0.25">
      <c r="A125" s="58" t="s">
        <v>129</v>
      </c>
      <c r="B125" s="5">
        <v>0.56603773584905659</v>
      </c>
    </row>
    <row r="126" spans="1:5" x14ac:dyDescent="0.25">
      <c r="A126" s="63">
        <v>1</v>
      </c>
      <c r="B126" s="5">
        <v>0.32075471698113206</v>
      </c>
    </row>
    <row r="127" spans="1:5" x14ac:dyDescent="0.25">
      <c r="A127" s="63">
        <v>2</v>
      </c>
      <c r="B127" s="5">
        <v>7.5471698113207544E-2</v>
      </c>
    </row>
    <row r="128" spans="1:5" x14ac:dyDescent="0.25">
      <c r="A128" s="63">
        <v>3</v>
      </c>
      <c r="B128" s="5">
        <v>2.8301886792452831E-2</v>
      </c>
    </row>
    <row r="129" spans="1:3" x14ac:dyDescent="0.25">
      <c r="A129" s="63">
        <v>4</v>
      </c>
      <c r="B129" s="5">
        <v>9.433962264150943E-3</v>
      </c>
    </row>
    <row r="130" spans="1:3" x14ac:dyDescent="0.25">
      <c r="A130" s="58" t="s">
        <v>53</v>
      </c>
      <c r="B130" s="5">
        <v>1</v>
      </c>
    </row>
    <row r="132" spans="1:3" x14ac:dyDescent="0.25">
      <c r="A132" s="17" t="s">
        <v>130</v>
      </c>
    </row>
    <row r="133" spans="1:3" x14ac:dyDescent="0.25">
      <c r="A133" s="17"/>
    </row>
    <row r="134" spans="1:3" s="23" customFormat="1" x14ac:dyDescent="0.25">
      <c r="A134" s="21"/>
      <c r="B134" s="24" t="s">
        <v>78</v>
      </c>
    </row>
    <row r="135" spans="1:3" s="23" customFormat="1" x14ac:dyDescent="0.25">
      <c r="A135" s="58" t="s">
        <v>131</v>
      </c>
      <c r="B135" s="25">
        <v>5.6074766355140186E-2</v>
      </c>
    </row>
    <row r="136" spans="1:3" s="23" customFormat="1" x14ac:dyDescent="0.25">
      <c r="A136" s="58" t="s">
        <v>132</v>
      </c>
      <c r="B136" s="25">
        <v>0.41121495327102803</v>
      </c>
    </row>
    <row r="137" spans="1:3" s="23" customFormat="1" x14ac:dyDescent="0.25">
      <c r="A137" s="58" t="s">
        <v>133</v>
      </c>
      <c r="B137" s="25">
        <v>0.16822429906542055</v>
      </c>
    </row>
    <row r="138" spans="1:3" s="23" customFormat="1" x14ac:dyDescent="0.25">
      <c r="A138" s="58" t="s">
        <v>134</v>
      </c>
      <c r="B138" s="25">
        <v>9.3457943925233638E-3</v>
      </c>
    </row>
    <row r="139" spans="1:3" s="23" customFormat="1" x14ac:dyDescent="0.25">
      <c r="A139" s="58" t="s">
        <v>135</v>
      </c>
      <c r="B139" s="25">
        <v>0.35514018691588783</v>
      </c>
    </row>
    <row r="140" spans="1:3" s="23" customFormat="1" ht="15.75" thickBot="1" x14ac:dyDescent="0.3">
      <c r="A140" s="143" t="s">
        <v>53</v>
      </c>
      <c r="B140" s="144">
        <v>1</v>
      </c>
    </row>
    <row r="141" spans="1:3" s="145" customFormat="1" ht="15.75" thickTop="1" x14ac:dyDescent="0.25"/>
    <row r="142" spans="1:3" x14ac:dyDescent="0.25">
      <c r="A142" s="3" t="s">
        <v>136</v>
      </c>
    </row>
    <row r="143" spans="1:3" x14ac:dyDescent="0.25">
      <c r="A143" s="58"/>
      <c r="B143" s="58" t="s">
        <v>10</v>
      </c>
      <c r="C143" s="58" t="s">
        <v>78</v>
      </c>
    </row>
    <row r="144" spans="1:3" x14ac:dyDescent="0.25">
      <c r="A144" s="58" t="s">
        <v>137</v>
      </c>
      <c r="B144" s="58">
        <v>188</v>
      </c>
      <c r="C144" s="5">
        <f>B144/382</f>
        <v>0.49214659685863876</v>
      </c>
    </row>
    <row r="145" spans="1:3" x14ac:dyDescent="0.25">
      <c r="A145" s="58" t="s">
        <v>138</v>
      </c>
      <c r="B145" s="58">
        <v>194</v>
      </c>
      <c r="C145" s="122">
        <f t="shared" ref="C145:C146" si="1">B145/382</f>
        <v>0.50785340314136129</v>
      </c>
    </row>
    <row r="146" spans="1:3" x14ac:dyDescent="0.25">
      <c r="A146" s="58" t="s">
        <v>53</v>
      </c>
      <c r="B146" s="58">
        <f>SUM(B144:B145)</f>
        <v>382</v>
      </c>
      <c r="C146" s="5">
        <f t="shared" si="1"/>
        <v>1</v>
      </c>
    </row>
    <row r="148" spans="1:3" x14ac:dyDescent="0.25">
      <c r="A148" s="3" t="s">
        <v>139</v>
      </c>
    </row>
    <row r="149" spans="1:3" x14ac:dyDescent="0.25">
      <c r="A149" s="58"/>
      <c r="B149" s="58" t="s">
        <v>10</v>
      </c>
      <c r="C149" s="58" t="s">
        <v>78</v>
      </c>
    </row>
    <row r="150" spans="1:3" x14ac:dyDescent="0.25">
      <c r="A150" s="58" t="s">
        <v>140</v>
      </c>
      <c r="B150" s="58">
        <v>32</v>
      </c>
      <c r="C150" s="5">
        <f>B150/$B$154</f>
        <v>8.4210526315789472E-2</v>
      </c>
    </row>
    <row r="151" spans="1:3" x14ac:dyDescent="0.25">
      <c r="A151" s="58" t="s">
        <v>141</v>
      </c>
      <c r="B151" s="58">
        <v>10</v>
      </c>
      <c r="C151" s="5">
        <f>B151/$B$154</f>
        <v>2.6315789473684209E-2</v>
      </c>
    </row>
    <row r="152" spans="1:3" x14ac:dyDescent="0.25">
      <c r="A152" s="58" t="s">
        <v>142</v>
      </c>
      <c r="B152" s="58">
        <v>32</v>
      </c>
      <c r="C152" s="5">
        <f>B152/$B$154</f>
        <v>8.4210526315789472E-2</v>
      </c>
    </row>
    <row r="153" spans="1:3" x14ac:dyDescent="0.25">
      <c r="A153" s="58" t="s">
        <v>143</v>
      </c>
      <c r="B153" s="58">
        <v>306</v>
      </c>
      <c r="C153" s="5">
        <f>B153/$B$154</f>
        <v>0.80526315789473679</v>
      </c>
    </row>
    <row r="154" spans="1:3" x14ac:dyDescent="0.25">
      <c r="A154" s="58" t="s">
        <v>53</v>
      </c>
      <c r="B154" s="58">
        <f>SUM(B150:B153)</f>
        <v>380</v>
      </c>
      <c r="C154" s="5">
        <f>B154/$B$154</f>
        <v>1</v>
      </c>
    </row>
    <row r="156" spans="1:3" x14ac:dyDescent="0.25">
      <c r="A156" s="17" t="s">
        <v>144</v>
      </c>
    </row>
    <row r="157" spans="1:3" x14ac:dyDescent="0.25">
      <c r="B157" s="56" t="s">
        <v>145</v>
      </c>
      <c r="C157" s="56" t="s">
        <v>146</v>
      </c>
    </row>
    <row r="158" spans="1:3" x14ac:dyDescent="0.25">
      <c r="A158" s="56" t="s">
        <v>142</v>
      </c>
      <c r="B158" s="2">
        <v>0.40412979351032446</v>
      </c>
      <c r="C158" s="2">
        <v>0.29203539823008851</v>
      </c>
    </row>
    <row r="159" spans="1:3" x14ac:dyDescent="0.25">
      <c r="A159" s="56" t="s">
        <v>143</v>
      </c>
      <c r="B159" s="2">
        <v>0.78100263852242746</v>
      </c>
      <c r="C159" s="2">
        <v>0.18205804749340371</v>
      </c>
    </row>
    <row r="160" spans="1:3" x14ac:dyDescent="0.25">
      <c r="A160" s="56" t="s">
        <v>149</v>
      </c>
      <c r="B160" s="2">
        <v>0.25438596491228072</v>
      </c>
      <c r="C160" s="2">
        <v>0.4064327485380117</v>
      </c>
    </row>
    <row r="162" spans="1:3" x14ac:dyDescent="0.25">
      <c r="A162" s="17" t="s">
        <v>150</v>
      </c>
    </row>
    <row r="164" spans="1:3" x14ac:dyDescent="0.25">
      <c r="A164" s="58"/>
      <c r="B164" s="58" t="s">
        <v>10</v>
      </c>
      <c r="C164" s="58" t="s">
        <v>78</v>
      </c>
    </row>
    <row r="165" spans="1:3" x14ac:dyDescent="0.25">
      <c r="A165" s="58">
        <v>0</v>
      </c>
      <c r="B165" s="58">
        <v>28</v>
      </c>
      <c r="C165" s="5">
        <v>7.3107049608355096E-2</v>
      </c>
    </row>
    <row r="166" spans="1:3" x14ac:dyDescent="0.25">
      <c r="A166" s="58">
        <v>1</v>
      </c>
      <c r="B166" s="58">
        <v>86</v>
      </c>
      <c r="C166" s="5">
        <v>0.22454308093994779</v>
      </c>
    </row>
    <row r="167" spans="1:3" x14ac:dyDescent="0.25">
      <c r="A167" s="58">
        <v>2</v>
      </c>
      <c r="B167" s="58">
        <v>115</v>
      </c>
      <c r="C167" s="5">
        <v>0.30026109660574413</v>
      </c>
    </row>
    <row r="168" spans="1:3" x14ac:dyDescent="0.25">
      <c r="A168" s="58">
        <v>3</v>
      </c>
      <c r="B168" s="58">
        <v>96</v>
      </c>
      <c r="C168" s="5">
        <v>0.25065274151436029</v>
      </c>
    </row>
    <row r="169" spans="1:3" x14ac:dyDescent="0.25">
      <c r="A169" s="58">
        <v>4</v>
      </c>
      <c r="B169" s="58">
        <v>39</v>
      </c>
      <c r="C169" s="5">
        <v>0.10182767624020887</v>
      </c>
    </row>
    <row r="170" spans="1:3" x14ac:dyDescent="0.25">
      <c r="A170" s="58">
        <v>5</v>
      </c>
      <c r="B170" s="58">
        <v>9</v>
      </c>
      <c r="C170" s="5">
        <v>2.3498694516971279E-2</v>
      </c>
    </row>
    <row r="171" spans="1:3" x14ac:dyDescent="0.25">
      <c r="A171" s="58">
        <v>6</v>
      </c>
      <c r="B171" s="58">
        <v>4</v>
      </c>
      <c r="C171" s="5">
        <v>1.0443864229765013E-2</v>
      </c>
    </row>
    <row r="172" spans="1:3" x14ac:dyDescent="0.25">
      <c r="A172" s="58">
        <v>7</v>
      </c>
      <c r="B172" s="58">
        <v>1</v>
      </c>
      <c r="C172" s="5">
        <v>2.6109660574412533E-3</v>
      </c>
    </row>
    <row r="173" spans="1:3" x14ac:dyDescent="0.25">
      <c r="A173" s="58">
        <v>8</v>
      </c>
      <c r="B173" s="58">
        <v>2</v>
      </c>
      <c r="C173" s="5">
        <v>5.2219321148825066E-3</v>
      </c>
    </row>
    <row r="174" spans="1:3" x14ac:dyDescent="0.25">
      <c r="A174" s="58">
        <v>9</v>
      </c>
      <c r="B174" s="58">
        <v>1</v>
      </c>
      <c r="C174" s="5">
        <v>2.6109660574412533E-3</v>
      </c>
    </row>
    <row r="175" spans="1:3" x14ac:dyDescent="0.25">
      <c r="A175" s="58">
        <v>10</v>
      </c>
      <c r="B175" s="58">
        <v>2</v>
      </c>
      <c r="C175" s="5">
        <v>5.2219321148825066E-3</v>
      </c>
    </row>
    <row r="176" spans="1:3" x14ac:dyDescent="0.25">
      <c r="A176" s="58" t="s">
        <v>53</v>
      </c>
      <c r="B176" s="58">
        <v>383</v>
      </c>
      <c r="C176" s="5">
        <v>1</v>
      </c>
    </row>
    <row r="178" spans="1:6" x14ac:dyDescent="0.25">
      <c r="A178" s="17" t="s">
        <v>151</v>
      </c>
    </row>
    <row r="180" spans="1:6" x14ac:dyDescent="0.25">
      <c r="A180" s="58"/>
      <c r="B180" s="58">
        <v>0</v>
      </c>
      <c r="C180" s="58" t="s">
        <v>152</v>
      </c>
      <c r="D180" s="58" t="s">
        <v>153</v>
      </c>
      <c r="E180" s="58" t="s">
        <v>154</v>
      </c>
      <c r="F180" s="58" t="s">
        <v>155</v>
      </c>
    </row>
    <row r="181" spans="1:6" x14ac:dyDescent="0.25">
      <c r="A181" s="58" t="s">
        <v>156</v>
      </c>
      <c r="B181" s="5">
        <v>0.56491228070175437</v>
      </c>
      <c r="C181" s="5">
        <v>0.35438596491228069</v>
      </c>
      <c r="D181" s="5">
        <v>6.6666666666666666E-2</v>
      </c>
      <c r="E181" s="5">
        <v>1.0526315789473684E-2</v>
      </c>
      <c r="F181" s="5">
        <v>3.5087719298245615E-3</v>
      </c>
    </row>
    <row r="182" spans="1:6" x14ac:dyDescent="0.25">
      <c r="A182" s="58" t="s">
        <v>157</v>
      </c>
      <c r="B182" s="122">
        <v>0.20317460317460317</v>
      </c>
      <c r="C182" s="122">
        <v>0.62222222222222223</v>
      </c>
      <c r="D182" s="122">
        <v>0.15238095238095239</v>
      </c>
      <c r="E182" s="122">
        <v>1.5873015873015872E-2</v>
      </c>
      <c r="F182" s="5">
        <v>6.3492063492063492E-3</v>
      </c>
    </row>
    <row r="183" spans="1:6" x14ac:dyDescent="0.25">
      <c r="A183" s="58" t="s">
        <v>158</v>
      </c>
      <c r="B183" s="5">
        <v>0.54365079365079361</v>
      </c>
      <c r="C183" s="5">
        <v>0.42063492063492064</v>
      </c>
      <c r="D183" s="5">
        <v>2.3809523809523808E-2</v>
      </c>
      <c r="E183" s="5">
        <v>3.968253968253968E-3</v>
      </c>
      <c r="F183" s="5">
        <v>7.9365079365079361E-3</v>
      </c>
    </row>
    <row r="184" spans="1:6" x14ac:dyDescent="0.25">
      <c r="A184" s="58" t="s">
        <v>159</v>
      </c>
      <c r="B184" s="5">
        <v>0.95495495495495497</v>
      </c>
      <c r="C184" s="5">
        <v>4.5045045045045043E-2</v>
      </c>
      <c r="D184" s="5">
        <v>0</v>
      </c>
      <c r="E184" s="5">
        <v>0</v>
      </c>
      <c r="F184" s="5">
        <v>0</v>
      </c>
    </row>
    <row r="185" spans="1:6" x14ac:dyDescent="0.25">
      <c r="A185" s="58" t="s">
        <v>160</v>
      </c>
      <c r="B185" s="5">
        <v>0.40794223826714804</v>
      </c>
      <c r="C185" s="5">
        <v>0.5703971119133574</v>
      </c>
      <c r="D185" s="5">
        <v>2.1660649819494584E-2</v>
      </c>
      <c r="E185" s="5">
        <v>0</v>
      </c>
      <c r="F185" s="5">
        <v>0</v>
      </c>
    </row>
    <row r="187" spans="1:6" x14ac:dyDescent="0.25">
      <c r="A187" s="17" t="s">
        <v>161</v>
      </c>
    </row>
    <row r="189" spans="1:6" x14ac:dyDescent="0.25">
      <c r="A189" s="56" t="s">
        <v>162</v>
      </c>
      <c r="B189" s="64">
        <v>0.97</v>
      </c>
      <c r="C189" s="123" t="s">
        <v>837</v>
      </c>
    </row>
    <row r="191" spans="1:6" x14ac:dyDescent="0.25">
      <c r="A191" s="17" t="s">
        <v>164</v>
      </c>
    </row>
    <row r="192" spans="1:6" x14ac:dyDescent="0.25">
      <c r="A192" s="17"/>
    </row>
    <row r="193" spans="1:3" x14ac:dyDescent="0.25">
      <c r="A193" s="22"/>
      <c r="B193" s="58" t="s">
        <v>10</v>
      </c>
      <c r="C193" s="58" t="s">
        <v>78</v>
      </c>
    </row>
    <row r="194" spans="1:3" x14ac:dyDescent="0.25">
      <c r="A194" s="21" t="s">
        <v>165</v>
      </c>
      <c r="B194" s="58">
        <v>11</v>
      </c>
      <c r="C194" s="5">
        <v>0.39285714285714285</v>
      </c>
    </row>
    <row r="195" spans="1:3" x14ac:dyDescent="0.25">
      <c r="A195" s="21" t="s">
        <v>160</v>
      </c>
      <c r="B195" s="58">
        <v>3</v>
      </c>
      <c r="C195" s="5">
        <v>0.10714285714285714</v>
      </c>
    </row>
    <row r="196" spans="1:3" x14ac:dyDescent="0.25">
      <c r="A196" s="21" t="s">
        <v>806</v>
      </c>
      <c r="B196" s="58">
        <v>0</v>
      </c>
      <c r="C196" s="5">
        <v>0</v>
      </c>
    </row>
    <row r="197" spans="1:3" x14ac:dyDescent="0.25">
      <c r="A197" s="21" t="s">
        <v>166</v>
      </c>
      <c r="B197" s="58">
        <v>14</v>
      </c>
      <c r="C197" s="5">
        <v>0.5</v>
      </c>
    </row>
    <row r="198" spans="1:3" x14ac:dyDescent="0.25">
      <c r="A198" s="21"/>
      <c r="B198" s="58">
        <v>28</v>
      </c>
      <c r="C198" s="5">
        <v>1</v>
      </c>
    </row>
    <row r="200" spans="1:3" x14ac:dyDescent="0.25">
      <c r="A200" s="3" t="s">
        <v>167</v>
      </c>
    </row>
    <row r="201" spans="1:3" x14ac:dyDescent="0.25">
      <c r="A201" s="58"/>
      <c r="B201" s="58" t="s">
        <v>10</v>
      </c>
      <c r="C201" s="58" t="s">
        <v>78</v>
      </c>
    </row>
    <row r="202" spans="1:3" x14ac:dyDescent="0.25">
      <c r="A202" s="58" t="s">
        <v>81</v>
      </c>
      <c r="B202" s="58">
        <v>341</v>
      </c>
      <c r="C202" s="5">
        <f>B202/$B$204</f>
        <v>0.89973614775725597</v>
      </c>
    </row>
    <row r="203" spans="1:3" x14ac:dyDescent="0.25">
      <c r="A203" s="58" t="s">
        <v>80</v>
      </c>
      <c r="B203" s="58">
        <v>38</v>
      </c>
      <c r="C203" s="5">
        <f>B203/$B$204</f>
        <v>0.10026385224274406</v>
      </c>
    </row>
    <row r="204" spans="1:3" x14ac:dyDescent="0.25">
      <c r="A204" s="58"/>
      <c r="B204" s="58">
        <f>SUM(B202:B203)</f>
        <v>379</v>
      </c>
      <c r="C204" s="5">
        <f>B204/$B$204</f>
        <v>1</v>
      </c>
    </row>
    <row r="206" spans="1:3" x14ac:dyDescent="0.25">
      <c r="A206" s="3" t="s">
        <v>168</v>
      </c>
    </row>
    <row r="207" spans="1:3" x14ac:dyDescent="0.25">
      <c r="A207" s="58"/>
      <c r="B207" s="58" t="s">
        <v>10</v>
      </c>
      <c r="C207" s="58" t="s">
        <v>78</v>
      </c>
    </row>
    <row r="208" spans="1:3" x14ac:dyDescent="0.25">
      <c r="A208" s="58" t="s">
        <v>81</v>
      </c>
      <c r="B208" s="58">
        <v>252</v>
      </c>
      <c r="C208" s="5">
        <f>B208/372</f>
        <v>0.67741935483870963</v>
      </c>
    </row>
    <row r="209" spans="1:6" x14ac:dyDescent="0.25">
      <c r="A209" s="58" t="s">
        <v>80</v>
      </c>
      <c r="B209" s="58">
        <v>120</v>
      </c>
      <c r="C209" s="5">
        <f t="shared" ref="C209:C210" si="2">B209/372</f>
        <v>0.32258064516129031</v>
      </c>
    </row>
    <row r="210" spans="1:6" x14ac:dyDescent="0.25">
      <c r="A210" s="58" t="s">
        <v>53</v>
      </c>
      <c r="B210" s="58">
        <f>SUM(B208:B209)</f>
        <v>372</v>
      </c>
      <c r="C210" s="5">
        <f t="shared" si="2"/>
        <v>1</v>
      </c>
    </row>
    <row r="212" spans="1:6" x14ac:dyDescent="0.25">
      <c r="A212" s="17" t="s">
        <v>170</v>
      </c>
    </row>
    <row r="213" spans="1:6" x14ac:dyDescent="0.25">
      <c r="A213" s="58"/>
      <c r="B213" s="58" t="s">
        <v>178</v>
      </c>
      <c r="C213" s="58" t="s">
        <v>179</v>
      </c>
      <c r="D213" s="5" t="s">
        <v>180</v>
      </c>
      <c r="E213" s="5" t="s">
        <v>181</v>
      </c>
      <c r="F213" s="5" t="s">
        <v>182</v>
      </c>
    </row>
    <row r="214" spans="1:6" x14ac:dyDescent="0.25">
      <c r="A214" s="58" t="s">
        <v>172</v>
      </c>
      <c r="B214" s="5">
        <v>0.25403225806451613</v>
      </c>
      <c r="C214" s="5">
        <v>0.18951612903225806</v>
      </c>
      <c r="D214" s="5">
        <v>0.26209677419354838</v>
      </c>
      <c r="E214" s="5">
        <v>0.17338709677419356</v>
      </c>
      <c r="F214" s="5">
        <v>0.12096774193548387</v>
      </c>
    </row>
    <row r="215" spans="1:6" x14ac:dyDescent="0.25">
      <c r="A215" s="58" t="s">
        <v>173</v>
      </c>
      <c r="B215" s="5">
        <v>0.27346938775510204</v>
      </c>
      <c r="C215" s="5">
        <v>0.24081632653061225</v>
      </c>
      <c r="D215" s="5">
        <v>0.2530612244897959</v>
      </c>
      <c r="E215" s="5">
        <v>0.1306122448979592</v>
      </c>
      <c r="F215" s="5">
        <v>0.10204081632653061</v>
      </c>
    </row>
    <row r="216" spans="1:6" x14ac:dyDescent="0.25">
      <c r="A216" s="58" t="s">
        <v>174</v>
      </c>
      <c r="B216" s="5">
        <v>0.15573770491803279</v>
      </c>
      <c r="C216" s="5">
        <v>0.16803278688524589</v>
      </c>
      <c r="D216" s="5">
        <v>0.29098360655737704</v>
      </c>
      <c r="E216" s="5">
        <v>0.20081967213114754</v>
      </c>
      <c r="F216" s="5">
        <v>0.18442622950819673</v>
      </c>
    </row>
    <row r="217" spans="1:6" x14ac:dyDescent="0.25">
      <c r="A217" s="58" t="s">
        <v>175</v>
      </c>
      <c r="B217" s="5">
        <v>0.11020408163265306</v>
      </c>
      <c r="C217" s="5">
        <v>6.5306122448979598E-2</v>
      </c>
      <c r="D217" s="5">
        <v>0.13877551020408163</v>
      </c>
      <c r="E217" s="5">
        <v>8.1632653061224483E-2</v>
      </c>
      <c r="F217" s="5">
        <v>0.60408163265306125</v>
      </c>
    </row>
    <row r="218" spans="1:6" x14ac:dyDescent="0.25">
      <c r="A218" s="58" t="s">
        <v>176</v>
      </c>
      <c r="B218" s="5">
        <v>0.10975609756097561</v>
      </c>
      <c r="C218" s="5">
        <v>7.3170731707317069E-2</v>
      </c>
      <c r="D218" s="5">
        <v>8.943089430894309E-2</v>
      </c>
      <c r="E218" s="5">
        <v>5.6910569105691054E-2</v>
      </c>
      <c r="F218" s="5">
        <v>0.67073170731707321</v>
      </c>
    </row>
    <row r="219" spans="1:6" x14ac:dyDescent="0.25">
      <c r="A219" s="58" t="s">
        <v>177</v>
      </c>
      <c r="B219" s="5">
        <v>8.0645161290322578E-2</v>
      </c>
      <c r="C219" s="5">
        <v>6.0483870967741937E-2</v>
      </c>
      <c r="D219" s="5">
        <v>8.0645161290322578E-2</v>
      </c>
      <c r="E219" s="5">
        <v>0.10887096774193548</v>
      </c>
      <c r="F219" s="5">
        <v>0.66935483870967738</v>
      </c>
    </row>
    <row r="222" spans="1:6" x14ac:dyDescent="0.25">
      <c r="A222" s="17" t="s">
        <v>183</v>
      </c>
      <c r="B222" s="125"/>
    </row>
    <row r="223" spans="1:6" x14ac:dyDescent="0.25">
      <c r="A223" s="124" t="s">
        <v>190</v>
      </c>
      <c r="B223" s="125"/>
    </row>
    <row r="224" spans="1:6" ht="30" x14ac:dyDescent="0.25">
      <c r="A224" s="124" t="s">
        <v>192</v>
      </c>
      <c r="B224" s="125"/>
    </row>
    <row r="225" spans="1:5" x14ac:dyDescent="0.25">
      <c r="A225" s="124" t="s">
        <v>191</v>
      </c>
      <c r="B225" s="125"/>
    </row>
    <row r="226" spans="1:5" ht="30" x14ac:dyDescent="0.25">
      <c r="A226" s="124" t="s">
        <v>193</v>
      </c>
      <c r="B226" s="125"/>
    </row>
    <row r="228" spans="1:5" x14ac:dyDescent="0.25">
      <c r="A228" s="17" t="s">
        <v>194</v>
      </c>
    </row>
    <row r="229" spans="1:5" x14ac:dyDescent="0.25">
      <c r="A229" s="56" t="s">
        <v>195</v>
      </c>
      <c r="B229" s="60">
        <v>0.79100000000000004</v>
      </c>
      <c r="C229" s="123"/>
    </row>
    <row r="231" spans="1:5" x14ac:dyDescent="0.25">
      <c r="A231" s="17" t="s">
        <v>196</v>
      </c>
    </row>
    <row r="232" spans="1:5" x14ac:dyDescent="0.25">
      <c r="A232" s="58"/>
      <c r="B232" s="58" t="s">
        <v>207</v>
      </c>
      <c r="C232" s="5" t="s">
        <v>208</v>
      </c>
      <c r="D232" s="5" t="s">
        <v>209</v>
      </c>
      <c r="E232" s="5" t="s">
        <v>100</v>
      </c>
    </row>
    <row r="233" spans="1:5" x14ac:dyDescent="0.25">
      <c r="A233" s="58" t="s">
        <v>199</v>
      </c>
      <c r="B233" s="5">
        <v>0.21621621621621623</v>
      </c>
      <c r="C233" s="5">
        <v>0.37387387387387389</v>
      </c>
      <c r="D233" s="5">
        <v>0.25225225225225223</v>
      </c>
      <c r="E233" s="5">
        <v>0.15765765765765766</v>
      </c>
    </row>
    <row r="234" spans="1:5" x14ac:dyDescent="0.25">
      <c r="A234" s="58" t="s">
        <v>200</v>
      </c>
      <c r="B234" s="5">
        <v>0.43693693693693691</v>
      </c>
      <c r="C234" s="5">
        <v>0.30630630630630629</v>
      </c>
      <c r="D234" s="5">
        <v>0.12162162162162163</v>
      </c>
      <c r="E234" s="5">
        <v>0.13513513513513514</v>
      </c>
    </row>
    <row r="235" spans="1:5" x14ac:dyDescent="0.25">
      <c r="A235" s="58" t="s">
        <v>201</v>
      </c>
      <c r="B235" s="5">
        <v>8.5972850678733032E-2</v>
      </c>
      <c r="C235" s="5">
        <v>0.26244343891402716</v>
      </c>
      <c r="D235" s="5">
        <v>0.41176470588235292</v>
      </c>
      <c r="E235" s="5">
        <v>0.23981900452488689</v>
      </c>
    </row>
    <row r="236" spans="1:5" x14ac:dyDescent="0.25">
      <c r="A236" s="58" t="s">
        <v>202</v>
      </c>
      <c r="B236" s="5">
        <v>0.40579710144927539</v>
      </c>
      <c r="C236" s="5">
        <v>0.49758454106280192</v>
      </c>
      <c r="D236" s="5">
        <v>7.7294685990338161E-2</v>
      </c>
      <c r="E236" s="5">
        <v>1.932367149758454E-2</v>
      </c>
    </row>
    <row r="237" spans="1:5" x14ac:dyDescent="0.25">
      <c r="A237" s="58" t="s">
        <v>210</v>
      </c>
      <c r="B237" s="5">
        <v>0.11261261261261261</v>
      </c>
      <c r="C237" s="5">
        <v>0.25225225225225223</v>
      </c>
      <c r="D237" s="5">
        <v>0.22072072072072071</v>
      </c>
      <c r="E237" s="5">
        <v>0.4144144144144144</v>
      </c>
    </row>
    <row r="238" spans="1:5" x14ac:dyDescent="0.25">
      <c r="A238" s="58" t="s">
        <v>211</v>
      </c>
      <c r="B238" s="5">
        <v>0.49082568807339449</v>
      </c>
      <c r="C238" s="5">
        <v>0.37155963302752293</v>
      </c>
      <c r="D238" s="5">
        <v>0.10091743119266056</v>
      </c>
      <c r="E238" s="5">
        <v>3.669724770642202E-2</v>
      </c>
    </row>
    <row r="239" spans="1:5" x14ac:dyDescent="0.25">
      <c r="A239" s="58" t="s">
        <v>203</v>
      </c>
      <c r="B239" s="5">
        <v>0.25806451612903225</v>
      </c>
      <c r="C239" s="5">
        <v>0.40552995391705071</v>
      </c>
      <c r="D239" s="5">
        <v>0.23502304147465439</v>
      </c>
      <c r="E239" s="5">
        <v>0.10138248847926268</v>
      </c>
    </row>
    <row r="240" spans="1:5" x14ac:dyDescent="0.25">
      <c r="A240" s="58" t="s">
        <v>204</v>
      </c>
      <c r="B240" s="5">
        <v>0.42272727272727273</v>
      </c>
      <c r="C240" s="5">
        <v>0.5</v>
      </c>
      <c r="D240" s="5">
        <v>0.05</v>
      </c>
      <c r="E240" s="5">
        <v>2.7272727272727271E-2</v>
      </c>
    </row>
    <row r="241" spans="1:5" x14ac:dyDescent="0.25">
      <c r="A241" s="58" t="s">
        <v>205</v>
      </c>
      <c r="B241" s="5">
        <v>5.1401869158878503E-2</v>
      </c>
      <c r="C241" s="5">
        <v>0.23831775700934579</v>
      </c>
      <c r="D241" s="5">
        <v>0.34112149532710279</v>
      </c>
      <c r="E241" s="5">
        <v>0.36915887850467288</v>
      </c>
    </row>
    <row r="242" spans="1:5" x14ac:dyDescent="0.25">
      <c r="A242" s="58" t="s">
        <v>206</v>
      </c>
      <c r="B242" s="5">
        <v>0.35813953488372091</v>
      </c>
      <c r="C242" s="5">
        <v>0.45581395348837211</v>
      </c>
      <c r="D242" s="5">
        <v>0.13953488372093023</v>
      </c>
      <c r="E242" s="5">
        <v>4.6511627906976744E-2</v>
      </c>
    </row>
    <row r="244" spans="1:5" x14ac:dyDescent="0.25">
      <c r="A244" s="17" t="s">
        <v>212</v>
      </c>
    </row>
    <row r="246" spans="1:5" x14ac:dyDescent="0.25">
      <c r="A246" s="58"/>
      <c r="B246" s="58" t="s">
        <v>81</v>
      </c>
      <c r="C246" s="5" t="s">
        <v>80</v>
      </c>
    </row>
    <row r="247" spans="1:5" x14ac:dyDescent="0.25">
      <c r="A247" s="58" t="s">
        <v>214</v>
      </c>
      <c r="B247" s="5">
        <v>0.5331412103746398</v>
      </c>
      <c r="C247" s="5">
        <v>0.4668587896253602</v>
      </c>
    </row>
    <row r="248" spans="1:5" x14ac:dyDescent="0.25">
      <c r="A248" s="58" t="s">
        <v>215</v>
      </c>
      <c r="B248" s="5">
        <v>0.6</v>
      </c>
      <c r="C248" s="5">
        <v>0.4</v>
      </c>
    </row>
    <row r="249" spans="1:5" x14ac:dyDescent="0.25">
      <c r="A249" s="58" t="s">
        <v>216</v>
      </c>
      <c r="B249" s="5">
        <v>0.31778425655976678</v>
      </c>
      <c r="C249" s="5">
        <v>0.68221574344023328</v>
      </c>
    </row>
    <row r="250" spans="1:5" x14ac:dyDescent="0.25">
      <c r="A250" s="58" t="s">
        <v>217</v>
      </c>
      <c r="B250" s="5">
        <v>0.34310850439882695</v>
      </c>
      <c r="C250" s="5">
        <v>0.65689149560117299</v>
      </c>
    </row>
    <row r="251" spans="1:5" x14ac:dyDescent="0.25">
      <c r="A251" s="58" t="s">
        <v>218</v>
      </c>
      <c r="B251" s="5">
        <v>0.27192982456140352</v>
      </c>
      <c r="C251" s="5">
        <v>0.72807017543859653</v>
      </c>
    </row>
    <row r="252" spans="1:5" x14ac:dyDescent="0.25">
      <c r="A252" s="58" t="s">
        <v>219</v>
      </c>
      <c r="B252" s="5">
        <v>0.13196480938416422</v>
      </c>
      <c r="C252" s="5">
        <v>0.86803519061583578</v>
      </c>
    </row>
    <row r="253" spans="1:5" x14ac:dyDescent="0.25">
      <c r="A253" s="58" t="s">
        <v>220</v>
      </c>
      <c r="B253" s="5">
        <v>0.1253731343283582</v>
      </c>
      <c r="C253" s="5">
        <v>0.87462686567164183</v>
      </c>
    </row>
    <row r="254" spans="1:5" x14ac:dyDescent="0.25">
      <c r="A254" s="58" t="s">
        <v>221</v>
      </c>
      <c r="B254" s="5">
        <v>0.59537572254335258</v>
      </c>
      <c r="C254" s="5">
        <v>0.40462427745664742</v>
      </c>
    </row>
    <row r="255" spans="1:5" x14ac:dyDescent="0.25">
      <c r="A255" s="58" t="s">
        <v>222</v>
      </c>
      <c r="B255" s="5">
        <v>0.51585014409221897</v>
      </c>
      <c r="C255" s="5">
        <v>0.48414985590778098</v>
      </c>
    </row>
    <row r="256" spans="1:5" x14ac:dyDescent="0.25">
      <c r="A256" s="58" t="s">
        <v>223</v>
      </c>
      <c r="B256" s="5">
        <v>0.3875739644970414</v>
      </c>
      <c r="C256" s="5">
        <v>0.6124260355029586</v>
      </c>
    </row>
    <row r="257" spans="1:3" x14ac:dyDescent="0.25">
      <c r="A257" s="58" t="s">
        <v>224</v>
      </c>
      <c r="B257" s="5">
        <v>0.24926686217008798</v>
      </c>
      <c r="C257" s="5">
        <v>0.75073313782991202</v>
      </c>
    </row>
    <row r="258" spans="1:3" x14ac:dyDescent="0.25">
      <c r="A258" s="58" t="s">
        <v>225</v>
      </c>
      <c r="B258" s="5">
        <v>0.27138643067846607</v>
      </c>
      <c r="C258" s="5">
        <v>0.72861356932153387</v>
      </c>
    </row>
    <row r="259" spans="1:3" x14ac:dyDescent="0.25">
      <c r="A259" s="58" t="s">
        <v>226</v>
      </c>
      <c r="B259" s="5">
        <v>0.12835820895522387</v>
      </c>
      <c r="C259" s="5">
        <v>0.87164179104477613</v>
      </c>
    </row>
    <row r="261" spans="1:3" x14ac:dyDescent="0.25">
      <c r="A261" s="17" t="s">
        <v>227</v>
      </c>
    </row>
    <row r="262" spans="1:3" x14ac:dyDescent="0.25">
      <c r="A262" s="58"/>
      <c r="B262" s="58" t="s">
        <v>81</v>
      </c>
      <c r="C262" s="5" t="s">
        <v>80</v>
      </c>
    </row>
    <row r="263" spans="1:3" x14ac:dyDescent="0.25">
      <c r="A263" s="58" t="s">
        <v>229</v>
      </c>
      <c r="B263" s="5">
        <v>0.24057971014492754</v>
      </c>
      <c r="C263" s="5">
        <v>0.75942028985507248</v>
      </c>
    </row>
    <row r="264" spans="1:3" x14ac:dyDescent="0.25">
      <c r="A264" s="58" t="s">
        <v>807</v>
      </c>
      <c r="B264" s="5">
        <v>0.38416422287390029</v>
      </c>
      <c r="C264" s="5">
        <v>0.61583577712609971</v>
      </c>
    </row>
    <row r="265" spans="1:3" x14ac:dyDescent="0.25">
      <c r="A265" s="58" t="s">
        <v>230</v>
      </c>
      <c r="B265" s="5">
        <v>0.14327485380116958</v>
      </c>
      <c r="C265" s="5">
        <v>0.85672514619883045</v>
      </c>
    </row>
    <row r="266" spans="1:3" x14ac:dyDescent="0.25">
      <c r="A266" s="58" t="s">
        <v>231</v>
      </c>
      <c r="B266" s="5">
        <v>0.23372781065088757</v>
      </c>
      <c r="C266" s="5">
        <v>0.76627218934911245</v>
      </c>
    </row>
    <row r="267" spans="1:3" x14ac:dyDescent="0.25">
      <c r="A267" s="58" t="s">
        <v>232</v>
      </c>
      <c r="B267" s="5">
        <v>0.3857566765578635</v>
      </c>
      <c r="C267" s="5">
        <v>0.6142433234421365</v>
      </c>
    </row>
    <row r="268" spans="1:3" x14ac:dyDescent="0.25">
      <c r="A268" s="58" t="s">
        <v>808</v>
      </c>
      <c r="B268" s="5">
        <v>0.6550724637681159</v>
      </c>
      <c r="C268" s="5">
        <v>0.34492753623188405</v>
      </c>
    </row>
    <row r="269" spans="1:3" x14ac:dyDescent="0.25">
      <c r="A269" s="58" t="s">
        <v>233</v>
      </c>
      <c r="B269" s="5">
        <v>0.11730205278592376</v>
      </c>
      <c r="C269" s="5">
        <v>0.88269794721407624</v>
      </c>
    </row>
    <row r="270" spans="1:3" x14ac:dyDescent="0.25">
      <c r="A270" s="58" t="s">
        <v>234</v>
      </c>
      <c r="B270" s="5">
        <v>0.8</v>
      </c>
      <c r="C270" s="5">
        <v>0.2</v>
      </c>
    </row>
    <row r="272" spans="1:3" x14ac:dyDescent="0.25">
      <c r="A272" s="17" t="s">
        <v>235</v>
      </c>
    </row>
    <row r="274" spans="1:6" x14ac:dyDescent="0.25">
      <c r="A274" s="58"/>
      <c r="B274" s="58" t="s">
        <v>178</v>
      </c>
      <c r="C274" s="58" t="s">
        <v>179</v>
      </c>
      <c r="D274" s="5" t="s">
        <v>180</v>
      </c>
      <c r="E274" s="5" t="s">
        <v>181</v>
      </c>
      <c r="F274" s="5" t="s">
        <v>240</v>
      </c>
    </row>
    <row r="275" spans="1:6" x14ac:dyDescent="0.25">
      <c r="A275" s="58" t="s">
        <v>237</v>
      </c>
      <c r="B275" s="5">
        <v>3.2258064516129031E-2</v>
      </c>
      <c r="C275" s="5">
        <v>3.8123167155425221E-2</v>
      </c>
      <c r="D275" s="5">
        <v>0.10557184750733138</v>
      </c>
      <c r="E275" s="5">
        <v>5.2785923753665691E-2</v>
      </c>
      <c r="F275" s="5">
        <v>0.77126099706744866</v>
      </c>
    </row>
    <row r="276" spans="1:6" x14ac:dyDescent="0.25">
      <c r="A276" s="58" t="s">
        <v>238</v>
      </c>
      <c r="B276" s="5">
        <v>1.7910447761194031E-2</v>
      </c>
      <c r="C276" s="5">
        <v>1.7910447761194031E-2</v>
      </c>
      <c r="D276" s="5">
        <v>7.4626865671641784E-2</v>
      </c>
      <c r="E276" s="5">
        <v>3.5820895522388062E-2</v>
      </c>
      <c r="F276" s="5">
        <v>0.85373134328358213</v>
      </c>
    </row>
    <row r="277" spans="1:6" x14ac:dyDescent="0.25">
      <c r="A277" s="58" t="s">
        <v>809</v>
      </c>
      <c r="B277" s="5">
        <v>8.2111436950146624E-2</v>
      </c>
      <c r="C277" s="5">
        <v>6.1583577712609971E-2</v>
      </c>
      <c r="D277" s="5">
        <v>0.17595307917888564</v>
      </c>
      <c r="E277" s="5">
        <v>8.2111436950146624E-2</v>
      </c>
      <c r="F277" s="5">
        <v>0.59824046920821117</v>
      </c>
    </row>
    <row r="278" spans="1:6" x14ac:dyDescent="0.25">
      <c r="A278" s="58" t="s">
        <v>239</v>
      </c>
      <c r="B278" s="5">
        <v>9.5930232558139539E-2</v>
      </c>
      <c r="C278" s="5">
        <v>0.10174418604651163</v>
      </c>
      <c r="D278" s="5">
        <v>0.2005813953488372</v>
      </c>
      <c r="E278" s="5">
        <v>0.12209302325581395</v>
      </c>
      <c r="F278" s="5">
        <v>0.47965116279069769</v>
      </c>
    </row>
    <row r="280" spans="1:6" x14ac:dyDescent="0.25">
      <c r="A280" s="3" t="s">
        <v>241</v>
      </c>
    </row>
    <row r="281" spans="1:6" x14ac:dyDescent="0.25">
      <c r="A281" s="58"/>
      <c r="B281" s="58" t="s">
        <v>10</v>
      </c>
      <c r="C281" s="58" t="s">
        <v>78</v>
      </c>
    </row>
    <row r="282" spans="1:6" x14ac:dyDescent="0.25">
      <c r="A282" s="58" t="s">
        <v>242</v>
      </c>
      <c r="B282" s="58">
        <v>50</v>
      </c>
      <c r="C282" s="5">
        <f>B282/$B$287</f>
        <v>0.14534883720930233</v>
      </c>
    </row>
    <row r="283" spans="1:6" x14ac:dyDescent="0.25">
      <c r="A283" s="58" t="s">
        <v>243</v>
      </c>
      <c r="B283" s="58">
        <v>113</v>
      </c>
      <c r="C283" s="5">
        <f t="shared" ref="C283:C287" si="3">B283/$B$287</f>
        <v>0.32848837209302323</v>
      </c>
    </row>
    <row r="284" spans="1:6" x14ac:dyDescent="0.25">
      <c r="A284" s="58" t="s">
        <v>244</v>
      </c>
      <c r="B284" s="58">
        <v>37</v>
      </c>
      <c r="C284" s="5">
        <f t="shared" si="3"/>
        <v>0.10755813953488372</v>
      </c>
    </row>
    <row r="285" spans="1:6" x14ac:dyDescent="0.25">
      <c r="A285" s="58" t="s">
        <v>245</v>
      </c>
      <c r="B285" s="58">
        <v>3</v>
      </c>
      <c r="C285" s="5">
        <f t="shared" si="3"/>
        <v>8.7209302325581394E-3</v>
      </c>
    </row>
    <row r="286" spans="1:6" x14ac:dyDescent="0.25">
      <c r="A286" s="58" t="s">
        <v>246</v>
      </c>
      <c r="B286" s="58">
        <v>141</v>
      </c>
      <c r="C286" s="5">
        <f t="shared" si="3"/>
        <v>0.40988372093023256</v>
      </c>
    </row>
    <row r="287" spans="1:6" x14ac:dyDescent="0.25">
      <c r="A287" s="58" t="s">
        <v>53</v>
      </c>
      <c r="B287" s="58">
        <f>SUM(B282:B286)</f>
        <v>344</v>
      </c>
      <c r="C287" s="5">
        <f t="shared" si="3"/>
        <v>1</v>
      </c>
    </row>
    <row r="289" spans="1:3" x14ac:dyDescent="0.25">
      <c r="A289" s="3" t="s">
        <v>247</v>
      </c>
    </row>
    <row r="290" spans="1:3" x14ac:dyDescent="0.25">
      <c r="A290" s="58"/>
      <c r="B290" s="58" t="s">
        <v>10</v>
      </c>
      <c r="C290" s="58" t="s">
        <v>78</v>
      </c>
    </row>
    <row r="291" spans="1:3" x14ac:dyDescent="0.25">
      <c r="A291" s="63">
        <v>0</v>
      </c>
      <c r="B291" s="58">
        <v>221</v>
      </c>
      <c r="C291" s="5">
        <f>B291/$B$312</f>
        <v>0.64809384164222872</v>
      </c>
    </row>
    <row r="292" spans="1:3" x14ac:dyDescent="0.25">
      <c r="A292" s="63">
        <v>1</v>
      </c>
      <c r="B292" s="58">
        <v>10</v>
      </c>
      <c r="C292" s="5">
        <f>B292/$B$312</f>
        <v>2.932551319648094E-2</v>
      </c>
    </row>
    <row r="293" spans="1:3" x14ac:dyDescent="0.25">
      <c r="A293" s="63">
        <v>2</v>
      </c>
      <c r="B293" s="58">
        <v>10</v>
      </c>
      <c r="C293" s="5">
        <f t="shared" ref="C293:C312" si="4">B293/$B$312</f>
        <v>2.932551319648094E-2</v>
      </c>
    </row>
    <row r="294" spans="1:3" x14ac:dyDescent="0.25">
      <c r="A294" s="63">
        <v>3</v>
      </c>
      <c r="B294" s="58">
        <v>10</v>
      </c>
      <c r="C294" s="5">
        <f t="shared" si="4"/>
        <v>2.932551319648094E-2</v>
      </c>
    </row>
    <row r="295" spans="1:3" x14ac:dyDescent="0.25">
      <c r="A295" s="63">
        <v>4</v>
      </c>
      <c r="B295" s="58">
        <v>8</v>
      </c>
      <c r="C295" s="5">
        <f t="shared" si="4"/>
        <v>2.3460410557184751E-2</v>
      </c>
    </row>
    <row r="296" spans="1:3" x14ac:dyDescent="0.25">
      <c r="A296" s="63">
        <v>5</v>
      </c>
      <c r="B296" s="58">
        <v>5</v>
      </c>
      <c r="C296" s="5">
        <f t="shared" si="4"/>
        <v>1.466275659824047E-2</v>
      </c>
    </row>
    <row r="297" spans="1:3" x14ac:dyDescent="0.25">
      <c r="A297" s="63">
        <v>6</v>
      </c>
      <c r="B297" s="58">
        <v>1</v>
      </c>
      <c r="C297" s="5">
        <f t="shared" si="4"/>
        <v>2.9325513196480938E-3</v>
      </c>
    </row>
    <row r="298" spans="1:3" x14ac:dyDescent="0.25">
      <c r="A298" s="63">
        <v>7</v>
      </c>
      <c r="B298" s="58">
        <v>1</v>
      </c>
      <c r="C298" s="5">
        <f t="shared" si="4"/>
        <v>2.9325513196480938E-3</v>
      </c>
    </row>
    <row r="299" spans="1:3" x14ac:dyDescent="0.25">
      <c r="A299" s="63">
        <v>8</v>
      </c>
      <c r="B299" s="58">
        <v>6</v>
      </c>
      <c r="C299" s="5">
        <f t="shared" si="4"/>
        <v>1.7595307917888565E-2</v>
      </c>
    </row>
    <row r="300" spans="1:3" x14ac:dyDescent="0.25">
      <c r="A300" s="63">
        <v>9</v>
      </c>
      <c r="B300" s="58">
        <v>1</v>
      </c>
      <c r="C300" s="5">
        <f t="shared" si="4"/>
        <v>2.9325513196480938E-3</v>
      </c>
    </row>
    <row r="301" spans="1:3" x14ac:dyDescent="0.25">
      <c r="A301" s="63">
        <v>10</v>
      </c>
      <c r="B301" s="58">
        <v>3</v>
      </c>
      <c r="C301" s="5">
        <f t="shared" si="4"/>
        <v>8.7976539589442824E-3</v>
      </c>
    </row>
    <row r="302" spans="1:3" x14ac:dyDescent="0.25">
      <c r="A302" s="63">
        <v>11</v>
      </c>
      <c r="B302" s="58">
        <v>24</v>
      </c>
      <c r="C302" s="5">
        <f t="shared" si="4"/>
        <v>7.0381231671554259E-2</v>
      </c>
    </row>
    <row r="303" spans="1:3" x14ac:dyDescent="0.25">
      <c r="A303" s="63">
        <v>12</v>
      </c>
      <c r="B303" s="58">
        <v>9</v>
      </c>
      <c r="C303" s="5">
        <f t="shared" si="4"/>
        <v>2.6392961876832845E-2</v>
      </c>
    </row>
    <row r="304" spans="1:3" x14ac:dyDescent="0.25">
      <c r="A304" s="63">
        <v>13</v>
      </c>
      <c r="B304" s="58">
        <v>9</v>
      </c>
      <c r="C304" s="5">
        <f t="shared" si="4"/>
        <v>2.6392961876832845E-2</v>
      </c>
    </row>
    <row r="305" spans="1:4" x14ac:dyDescent="0.25">
      <c r="A305" s="63">
        <v>14</v>
      </c>
      <c r="B305" s="58">
        <v>7</v>
      </c>
      <c r="C305" s="5">
        <f t="shared" si="4"/>
        <v>2.0527859237536656E-2</v>
      </c>
    </row>
    <row r="306" spans="1:4" x14ac:dyDescent="0.25">
      <c r="A306" s="63">
        <v>15</v>
      </c>
      <c r="B306" s="58">
        <v>7</v>
      </c>
      <c r="C306" s="5">
        <f t="shared" si="4"/>
        <v>2.0527859237536656E-2</v>
      </c>
    </row>
    <row r="307" spans="1:4" x14ac:dyDescent="0.25">
      <c r="A307" s="63">
        <v>16</v>
      </c>
      <c r="B307" s="58">
        <v>2</v>
      </c>
      <c r="C307" s="5">
        <f t="shared" si="4"/>
        <v>5.8651026392961877E-3</v>
      </c>
    </row>
    <row r="308" spans="1:4" x14ac:dyDescent="0.25">
      <c r="A308" s="63">
        <v>17</v>
      </c>
      <c r="B308" s="58">
        <v>1</v>
      </c>
      <c r="C308" s="5">
        <f t="shared" si="4"/>
        <v>2.9325513196480938E-3</v>
      </c>
    </row>
    <row r="309" spans="1:4" x14ac:dyDescent="0.25">
      <c r="A309" s="63">
        <v>18</v>
      </c>
      <c r="B309" s="58">
        <v>0</v>
      </c>
      <c r="C309" s="5">
        <f t="shared" si="4"/>
        <v>0</v>
      </c>
    </row>
    <row r="310" spans="1:4" x14ac:dyDescent="0.25">
      <c r="A310" s="63">
        <v>19</v>
      </c>
      <c r="B310" s="58">
        <v>1</v>
      </c>
      <c r="C310" s="5">
        <f t="shared" si="4"/>
        <v>2.9325513196480938E-3</v>
      </c>
    </row>
    <row r="311" spans="1:4" x14ac:dyDescent="0.25">
      <c r="A311" s="63">
        <v>20</v>
      </c>
      <c r="B311" s="58">
        <v>5</v>
      </c>
      <c r="C311" s="5">
        <f t="shared" si="4"/>
        <v>1.466275659824047E-2</v>
      </c>
    </row>
    <row r="312" spans="1:4" x14ac:dyDescent="0.25">
      <c r="A312" s="58" t="s">
        <v>53</v>
      </c>
      <c r="B312" s="58">
        <f>SUM(B291:B311)</f>
        <v>341</v>
      </c>
      <c r="C312" s="5">
        <f t="shared" si="4"/>
        <v>1</v>
      </c>
    </row>
    <row r="315" spans="1:4" x14ac:dyDescent="0.25">
      <c r="A315" s="17" t="s">
        <v>248</v>
      </c>
    </row>
    <row r="317" spans="1:4" x14ac:dyDescent="0.25">
      <c r="A317" s="58"/>
      <c r="B317" s="58" t="s">
        <v>250</v>
      </c>
      <c r="C317" s="5" t="s">
        <v>251</v>
      </c>
      <c r="D317" s="5" t="s">
        <v>252</v>
      </c>
    </row>
    <row r="318" spans="1:4" x14ac:dyDescent="0.25">
      <c r="A318" s="58" t="s">
        <v>249</v>
      </c>
      <c r="B318" s="5">
        <v>0.53278688524590168</v>
      </c>
      <c r="C318" s="5">
        <v>0.38524590163934425</v>
      </c>
      <c r="D318" s="5">
        <v>8.1967213114754092E-2</v>
      </c>
    </row>
    <row r="319" spans="1:4" x14ac:dyDescent="0.25">
      <c r="A319" s="58" t="s">
        <v>253</v>
      </c>
      <c r="B319" s="5">
        <v>0.58333333333333337</v>
      </c>
      <c r="C319" s="5">
        <v>0.34166666666666667</v>
      </c>
      <c r="D319" s="5">
        <v>7.4999999999999997E-2</v>
      </c>
    </row>
    <row r="320" spans="1:4" x14ac:dyDescent="0.25">
      <c r="A320" s="58" t="s">
        <v>254</v>
      </c>
      <c r="B320" s="5">
        <v>0.6333333333333333</v>
      </c>
      <c r="C320" s="5">
        <v>0.28333333333333333</v>
      </c>
      <c r="D320" s="5">
        <v>8.3333333333333329E-2</v>
      </c>
    </row>
    <row r="321" spans="1:5" x14ac:dyDescent="0.25">
      <c r="A321" s="58" t="s">
        <v>255</v>
      </c>
      <c r="B321" s="5">
        <v>0.55000000000000004</v>
      </c>
      <c r="C321" s="5">
        <v>0.36666666666666664</v>
      </c>
      <c r="D321" s="5">
        <v>8.3333333333333329E-2</v>
      </c>
    </row>
    <row r="322" spans="1:5" x14ac:dyDescent="0.25">
      <c r="A322" s="58" t="s">
        <v>256</v>
      </c>
      <c r="B322" s="5">
        <v>0.72499999999999998</v>
      </c>
      <c r="C322" s="5">
        <v>0.25833333333333336</v>
      </c>
      <c r="D322" s="5">
        <v>1.6666666666666666E-2</v>
      </c>
    </row>
    <row r="324" spans="1:5" x14ac:dyDescent="0.25">
      <c r="A324" s="17" t="s">
        <v>257</v>
      </c>
    </row>
    <row r="326" spans="1:5" x14ac:dyDescent="0.25">
      <c r="A326" s="58"/>
      <c r="B326" s="58" t="s">
        <v>81</v>
      </c>
      <c r="C326" s="58" t="s">
        <v>80</v>
      </c>
      <c r="D326" s="58" t="s">
        <v>268</v>
      </c>
      <c r="E326" s="58" t="s">
        <v>269</v>
      </c>
    </row>
    <row r="327" spans="1:5" x14ac:dyDescent="0.25">
      <c r="A327" s="58" t="s">
        <v>258</v>
      </c>
      <c r="B327" s="5">
        <v>0.4716417910447761</v>
      </c>
      <c r="C327" s="5">
        <v>0.41492537313432837</v>
      </c>
      <c r="D327" s="5">
        <v>4.7761194029850747E-2</v>
      </c>
      <c r="E327" s="5">
        <v>6.5671641791044774E-2</v>
      </c>
    </row>
    <row r="328" spans="1:5" x14ac:dyDescent="0.25">
      <c r="A328" s="58" t="s">
        <v>259</v>
      </c>
      <c r="B328" s="5">
        <v>0.14414414414414414</v>
      </c>
      <c r="C328" s="5">
        <v>0.6786786786786787</v>
      </c>
      <c r="D328" s="5">
        <v>6.9069069069069067E-2</v>
      </c>
      <c r="E328" s="5">
        <v>0.10810810810810811</v>
      </c>
    </row>
    <row r="329" spans="1:5" x14ac:dyDescent="0.25">
      <c r="A329" s="58" t="s">
        <v>260</v>
      </c>
      <c r="B329" s="5">
        <v>6.6666666666666666E-2</v>
      </c>
      <c r="C329" s="5">
        <v>0.75454545454545452</v>
      </c>
      <c r="D329" s="5">
        <v>8.1818181818181818E-2</v>
      </c>
      <c r="E329" s="5">
        <v>9.696969696969697E-2</v>
      </c>
    </row>
    <row r="330" spans="1:5" x14ac:dyDescent="0.25">
      <c r="A330" s="58" t="s">
        <v>261</v>
      </c>
      <c r="B330" s="5">
        <v>7.2289156626506021E-2</v>
      </c>
      <c r="C330" s="5">
        <v>0.58132530120481929</v>
      </c>
      <c r="D330" s="5">
        <v>0.24698795180722891</v>
      </c>
      <c r="E330" s="5">
        <v>9.9397590361445784E-2</v>
      </c>
    </row>
    <row r="331" spans="1:5" x14ac:dyDescent="0.25">
      <c r="A331" s="58" t="s">
        <v>262</v>
      </c>
      <c r="B331" s="5">
        <v>0.49848024316109424</v>
      </c>
      <c r="C331" s="5">
        <v>0.32522796352583588</v>
      </c>
      <c r="D331" s="5">
        <v>0.10638297872340426</v>
      </c>
      <c r="E331" s="5">
        <v>6.9908814589665649E-2</v>
      </c>
    </row>
    <row r="332" spans="1:5" x14ac:dyDescent="0.25">
      <c r="A332" s="58" t="s">
        <v>263</v>
      </c>
      <c r="B332" s="5">
        <v>0.24924924924924924</v>
      </c>
      <c r="C332" s="5">
        <v>0.56456456456456461</v>
      </c>
      <c r="D332" s="5">
        <v>0.11711711711711711</v>
      </c>
      <c r="E332" s="5">
        <v>6.9069069069069067E-2</v>
      </c>
    </row>
    <row r="333" spans="1:5" x14ac:dyDescent="0.25">
      <c r="A333" s="58" t="s">
        <v>264</v>
      </c>
      <c r="B333" s="5">
        <v>0.12727272727272726</v>
      </c>
      <c r="C333" s="5">
        <v>0.6393939393939394</v>
      </c>
      <c r="D333" s="5">
        <v>0.14242424242424243</v>
      </c>
      <c r="E333" s="5">
        <v>9.0909090909090912E-2</v>
      </c>
    </row>
    <row r="334" spans="1:5" x14ac:dyDescent="0.25">
      <c r="A334" s="58" t="s">
        <v>265</v>
      </c>
      <c r="B334" s="5">
        <v>0.20059880239520958</v>
      </c>
      <c r="C334" s="5">
        <v>0.58083832335329344</v>
      </c>
      <c r="D334" s="5">
        <v>9.880239520958084E-2</v>
      </c>
      <c r="E334" s="5">
        <v>0.11976047904191617</v>
      </c>
    </row>
    <row r="335" spans="1:5" x14ac:dyDescent="0.25">
      <c r="A335" s="58" t="s">
        <v>266</v>
      </c>
      <c r="B335" s="5">
        <v>0.2072072072072072</v>
      </c>
      <c r="C335" s="5">
        <v>0.60060060060060061</v>
      </c>
      <c r="D335" s="5">
        <v>8.1081081081081086E-2</v>
      </c>
      <c r="E335" s="5">
        <v>0.1111111111111111</v>
      </c>
    </row>
    <row r="336" spans="1:5" x14ac:dyDescent="0.25">
      <c r="A336" s="58" t="s">
        <v>810</v>
      </c>
      <c r="B336" s="5">
        <v>0.15963855421686746</v>
      </c>
      <c r="C336" s="5">
        <v>0.65662650602409633</v>
      </c>
      <c r="D336" s="5">
        <v>7.2289156626506021E-2</v>
      </c>
      <c r="E336" s="5">
        <v>0.11144578313253012</v>
      </c>
    </row>
    <row r="339" spans="1:9" x14ac:dyDescent="0.25">
      <c r="A339" s="17" t="s">
        <v>270</v>
      </c>
    </row>
    <row r="341" spans="1:9" x14ac:dyDescent="0.25">
      <c r="A341" s="58"/>
      <c r="B341" s="58" t="s">
        <v>152</v>
      </c>
      <c r="C341" s="58" t="s">
        <v>153</v>
      </c>
      <c r="D341" s="58" t="s">
        <v>276</v>
      </c>
      <c r="E341" s="58" t="s">
        <v>277</v>
      </c>
      <c r="F341" s="58" t="s">
        <v>278</v>
      </c>
      <c r="G341" s="58" t="s">
        <v>279</v>
      </c>
      <c r="H341" s="58" t="s">
        <v>275</v>
      </c>
      <c r="I341" s="126"/>
    </row>
    <row r="342" spans="1:9" x14ac:dyDescent="0.25">
      <c r="A342" s="58" t="s">
        <v>271</v>
      </c>
      <c r="B342" s="5">
        <v>0.16265060240963855</v>
      </c>
      <c r="C342" s="5">
        <v>9.036144578313253E-2</v>
      </c>
      <c r="D342" s="5">
        <v>0.16566265060240964</v>
      </c>
      <c r="E342" s="5">
        <v>0.12650602409638553</v>
      </c>
      <c r="F342" s="5">
        <v>0.12951807228915663</v>
      </c>
      <c r="G342" s="5">
        <v>3.9156626506024098E-2</v>
      </c>
      <c r="H342" s="5">
        <v>0.28614457831325302</v>
      </c>
    </row>
    <row r="343" spans="1:9" x14ac:dyDescent="0.25">
      <c r="A343" s="58" t="s">
        <v>272</v>
      </c>
      <c r="B343" s="5">
        <v>0.25538461538461538</v>
      </c>
      <c r="C343" s="5">
        <v>0.12923076923076923</v>
      </c>
      <c r="D343" s="5">
        <v>7.0769230769230765E-2</v>
      </c>
      <c r="E343" s="5">
        <v>1.8461538461538463E-2</v>
      </c>
      <c r="F343" s="5">
        <v>6.1538461538461538E-3</v>
      </c>
      <c r="G343" s="5">
        <v>9.2307692307692316E-3</v>
      </c>
      <c r="H343" s="5">
        <v>0.51076923076923075</v>
      </c>
    </row>
    <row r="344" spans="1:9" x14ac:dyDescent="0.25">
      <c r="A344" s="58" t="s">
        <v>273</v>
      </c>
      <c r="B344" s="5">
        <v>0.19631901840490798</v>
      </c>
      <c r="C344" s="5">
        <v>5.2147239263803678E-2</v>
      </c>
      <c r="D344" s="5">
        <v>2.7607361963190184E-2</v>
      </c>
      <c r="E344" s="5">
        <v>1.2269938650306749E-2</v>
      </c>
      <c r="F344" s="5">
        <v>6.1349693251533744E-3</v>
      </c>
      <c r="G344" s="5">
        <v>3.0674846625766872E-3</v>
      </c>
      <c r="H344" s="5">
        <v>0.7024539877300614</v>
      </c>
    </row>
    <row r="345" spans="1:9" x14ac:dyDescent="0.25">
      <c r="A345" s="58" t="s">
        <v>274</v>
      </c>
      <c r="B345" s="5">
        <v>8.2539682539682538E-2</v>
      </c>
      <c r="C345" s="5">
        <v>3.4920634920634921E-2</v>
      </c>
      <c r="D345" s="5">
        <v>3.4920634920634921E-2</v>
      </c>
      <c r="E345" s="5">
        <v>9.5238095238095247E-3</v>
      </c>
      <c r="F345" s="5">
        <v>6.3492063492063492E-3</v>
      </c>
      <c r="G345" s="5">
        <v>6.3492063492063492E-3</v>
      </c>
      <c r="H345" s="5">
        <v>0.82539682539682535</v>
      </c>
    </row>
    <row r="348" spans="1:9" x14ac:dyDescent="0.25">
      <c r="A348" s="17" t="s">
        <v>280</v>
      </c>
    </row>
    <row r="350" spans="1:9" x14ac:dyDescent="0.25">
      <c r="A350" s="58"/>
      <c r="B350" s="58" t="s">
        <v>152</v>
      </c>
      <c r="C350" s="58" t="s">
        <v>153</v>
      </c>
      <c r="D350" s="58" t="s">
        <v>276</v>
      </c>
      <c r="E350" s="58" t="s">
        <v>277</v>
      </c>
      <c r="F350" s="58" t="s">
        <v>281</v>
      </c>
      <c r="H350" s="126"/>
    </row>
    <row r="351" spans="1:9" ht="30" x14ac:dyDescent="0.25">
      <c r="A351" s="53" t="s">
        <v>284</v>
      </c>
      <c r="B351" s="5">
        <v>0.26415094339622641</v>
      </c>
      <c r="C351" s="5">
        <v>0.24528301886792453</v>
      </c>
      <c r="D351" s="5">
        <v>0.26415094339622641</v>
      </c>
      <c r="E351" s="5">
        <v>5.6603773584905662E-2</v>
      </c>
      <c r="F351" s="5">
        <v>0.16981132075471697</v>
      </c>
    </row>
    <row r="352" spans="1:9" x14ac:dyDescent="0.25">
      <c r="A352" s="58" t="s">
        <v>282</v>
      </c>
      <c r="B352" s="5">
        <v>0.45454545454545453</v>
      </c>
      <c r="C352" s="5">
        <v>0.30303030303030304</v>
      </c>
      <c r="D352" s="5">
        <v>0.12121212121212122</v>
      </c>
      <c r="E352" s="5">
        <v>6.0606060606060608E-2</v>
      </c>
      <c r="F352" s="5">
        <v>6.0606060606060608E-2</v>
      </c>
    </row>
    <row r="353" spans="1:7" x14ac:dyDescent="0.25">
      <c r="A353" s="58" t="s">
        <v>283</v>
      </c>
      <c r="B353" s="5">
        <v>0.31111111111111112</v>
      </c>
      <c r="C353" s="5">
        <v>0.2</v>
      </c>
      <c r="D353" s="5">
        <v>0.26666666666666666</v>
      </c>
      <c r="E353" s="5">
        <v>0.13333333333333333</v>
      </c>
      <c r="F353" s="5">
        <v>8.8888888888888892E-2</v>
      </c>
    </row>
    <row r="355" spans="1:7" x14ac:dyDescent="0.25">
      <c r="A355" s="3" t="s">
        <v>285</v>
      </c>
    </row>
    <row r="356" spans="1:7" x14ac:dyDescent="0.25">
      <c r="A356" s="27"/>
      <c r="B356" s="58"/>
      <c r="C356" s="58"/>
      <c r="D356" s="147" t="s">
        <v>286</v>
      </c>
      <c r="E356" s="147"/>
      <c r="F356" s="147" t="s">
        <v>287</v>
      </c>
      <c r="G356" s="147"/>
    </row>
    <row r="357" spans="1:7" x14ac:dyDescent="0.25">
      <c r="A357" s="27"/>
      <c r="B357" s="58" t="s">
        <v>10</v>
      </c>
      <c r="C357" s="58" t="s">
        <v>78</v>
      </c>
      <c r="D357" s="58" t="s">
        <v>10</v>
      </c>
      <c r="E357" s="58" t="s">
        <v>78</v>
      </c>
      <c r="F357" s="58" t="s">
        <v>10</v>
      </c>
      <c r="G357" s="58" t="s">
        <v>78</v>
      </c>
    </row>
    <row r="358" spans="1:7" x14ac:dyDescent="0.25">
      <c r="A358" s="63">
        <v>0</v>
      </c>
      <c r="B358" s="26">
        <v>114</v>
      </c>
      <c r="C358" s="5">
        <f>B358/333</f>
        <v>0.34234234234234234</v>
      </c>
      <c r="D358" s="58">
        <v>0</v>
      </c>
      <c r="E358" s="5">
        <f>D358/198</f>
        <v>0</v>
      </c>
      <c r="F358" s="58">
        <v>0</v>
      </c>
      <c r="G358" s="5">
        <f>F358/209</f>
        <v>0</v>
      </c>
    </row>
    <row r="359" spans="1:7" x14ac:dyDescent="0.25">
      <c r="A359" s="63">
        <v>1</v>
      </c>
      <c r="B359" s="26">
        <v>39</v>
      </c>
      <c r="C359" s="5">
        <f t="shared" ref="C359:C381" si="5">B359/333</f>
        <v>0.11711711711711711</v>
      </c>
      <c r="D359" s="58">
        <v>70</v>
      </c>
      <c r="E359" s="5">
        <f t="shared" ref="E359:E381" si="6">D359/198</f>
        <v>0.35353535353535354</v>
      </c>
      <c r="F359" s="58">
        <v>45</v>
      </c>
      <c r="G359" s="5">
        <f t="shared" ref="G359:G381" si="7">F359/209</f>
        <v>0.21531100478468901</v>
      </c>
    </row>
    <row r="360" spans="1:7" x14ac:dyDescent="0.25">
      <c r="A360" s="63">
        <v>2</v>
      </c>
      <c r="B360" s="26">
        <v>32</v>
      </c>
      <c r="C360" s="5">
        <f t="shared" si="5"/>
        <v>9.6096096096096095E-2</v>
      </c>
      <c r="D360" s="58">
        <v>54</v>
      </c>
      <c r="E360" s="5">
        <f t="shared" si="6"/>
        <v>0.27272727272727271</v>
      </c>
      <c r="F360" s="58">
        <v>37</v>
      </c>
      <c r="G360" s="5">
        <f t="shared" si="7"/>
        <v>0.17703349282296652</v>
      </c>
    </row>
    <row r="361" spans="1:7" x14ac:dyDescent="0.25">
      <c r="A361" s="63">
        <v>3</v>
      </c>
      <c r="B361" s="26">
        <v>41</v>
      </c>
      <c r="C361" s="5">
        <f t="shared" si="5"/>
        <v>0.12312312312312312</v>
      </c>
      <c r="D361" s="58">
        <v>32</v>
      </c>
      <c r="E361" s="5">
        <f t="shared" si="6"/>
        <v>0.16161616161616163</v>
      </c>
      <c r="F361" s="58">
        <v>27</v>
      </c>
      <c r="G361" s="5">
        <f t="shared" si="7"/>
        <v>0.12918660287081341</v>
      </c>
    </row>
    <row r="362" spans="1:7" x14ac:dyDescent="0.25">
      <c r="A362" s="63">
        <v>4</v>
      </c>
      <c r="B362" s="26">
        <v>25</v>
      </c>
      <c r="C362" s="5">
        <f t="shared" si="5"/>
        <v>7.5075075075075076E-2</v>
      </c>
      <c r="D362" s="58">
        <v>12</v>
      </c>
      <c r="E362" s="5">
        <f t="shared" si="6"/>
        <v>6.0606060606060608E-2</v>
      </c>
      <c r="F362" s="58">
        <v>25</v>
      </c>
      <c r="G362" s="5">
        <f t="shared" si="7"/>
        <v>0.11961722488038277</v>
      </c>
    </row>
    <row r="363" spans="1:7" x14ac:dyDescent="0.25">
      <c r="A363" s="63">
        <v>5</v>
      </c>
      <c r="B363" s="26">
        <v>23</v>
      </c>
      <c r="C363" s="5">
        <f t="shared" si="5"/>
        <v>6.9069069069069067E-2</v>
      </c>
      <c r="D363" s="58">
        <v>7</v>
      </c>
      <c r="E363" s="5">
        <f t="shared" si="6"/>
        <v>3.5353535353535352E-2</v>
      </c>
      <c r="F363" s="58">
        <v>24</v>
      </c>
      <c r="G363" s="5">
        <f t="shared" si="7"/>
        <v>0.11483253588516747</v>
      </c>
    </row>
    <row r="364" spans="1:7" x14ac:dyDescent="0.25">
      <c r="A364" s="63">
        <v>6</v>
      </c>
      <c r="B364" s="26">
        <v>11</v>
      </c>
      <c r="C364" s="5">
        <f t="shared" si="5"/>
        <v>3.3033033033033031E-2</v>
      </c>
      <c r="D364" s="58">
        <v>9</v>
      </c>
      <c r="E364" s="5">
        <f t="shared" si="6"/>
        <v>4.5454545454545456E-2</v>
      </c>
      <c r="F364" s="58">
        <v>17</v>
      </c>
      <c r="G364" s="5">
        <f t="shared" si="7"/>
        <v>8.1339712918660281E-2</v>
      </c>
    </row>
    <row r="365" spans="1:7" x14ac:dyDescent="0.25">
      <c r="A365" s="63">
        <v>7</v>
      </c>
      <c r="B365" s="26">
        <v>8</v>
      </c>
      <c r="C365" s="5">
        <f t="shared" si="5"/>
        <v>2.4024024024024024E-2</v>
      </c>
      <c r="D365" s="58">
        <v>3</v>
      </c>
      <c r="E365" s="5">
        <f t="shared" si="6"/>
        <v>1.5151515151515152E-2</v>
      </c>
      <c r="F365" s="58">
        <v>8</v>
      </c>
      <c r="G365" s="5">
        <f t="shared" si="7"/>
        <v>3.8277511961722487E-2</v>
      </c>
    </row>
    <row r="366" spans="1:7" x14ac:dyDescent="0.25">
      <c r="A366" s="63">
        <v>8</v>
      </c>
      <c r="B366" s="26">
        <v>5</v>
      </c>
      <c r="C366" s="5">
        <f t="shared" si="5"/>
        <v>1.5015015015015015E-2</v>
      </c>
      <c r="D366" s="58">
        <v>1</v>
      </c>
      <c r="E366" s="5">
        <f t="shared" si="6"/>
        <v>5.0505050505050509E-3</v>
      </c>
      <c r="F366" s="58">
        <v>6</v>
      </c>
      <c r="G366" s="5">
        <f t="shared" si="7"/>
        <v>2.8708133971291867E-2</v>
      </c>
    </row>
    <row r="367" spans="1:7" x14ac:dyDescent="0.25">
      <c r="A367" s="63">
        <v>9</v>
      </c>
      <c r="B367" s="26">
        <v>10</v>
      </c>
      <c r="C367" s="5">
        <f t="shared" si="5"/>
        <v>3.003003003003003E-2</v>
      </c>
      <c r="D367" s="58">
        <v>1</v>
      </c>
      <c r="E367" s="5">
        <f t="shared" si="6"/>
        <v>5.0505050505050509E-3</v>
      </c>
      <c r="F367" s="58">
        <v>3</v>
      </c>
      <c r="G367" s="5">
        <f t="shared" si="7"/>
        <v>1.4354066985645933E-2</v>
      </c>
    </row>
    <row r="368" spans="1:7" x14ac:dyDescent="0.25">
      <c r="A368" s="63">
        <v>10</v>
      </c>
      <c r="B368" s="26">
        <v>10</v>
      </c>
      <c r="C368" s="5">
        <f t="shared" si="5"/>
        <v>3.003003003003003E-2</v>
      </c>
      <c r="D368" s="58">
        <v>3</v>
      </c>
      <c r="E368" s="5">
        <f t="shared" si="6"/>
        <v>1.5151515151515152E-2</v>
      </c>
      <c r="F368" s="58">
        <v>4</v>
      </c>
      <c r="G368" s="5">
        <f t="shared" si="7"/>
        <v>1.9138755980861243E-2</v>
      </c>
    </row>
    <row r="369" spans="1:7" x14ac:dyDescent="0.25">
      <c r="A369" s="63">
        <v>11</v>
      </c>
      <c r="B369" s="26">
        <v>2</v>
      </c>
      <c r="C369" s="5">
        <f t="shared" si="5"/>
        <v>6.006006006006006E-3</v>
      </c>
      <c r="D369" s="58">
        <v>0</v>
      </c>
      <c r="E369" s="5">
        <f t="shared" si="6"/>
        <v>0</v>
      </c>
      <c r="F369" s="58">
        <v>5</v>
      </c>
      <c r="G369" s="5">
        <f t="shared" si="7"/>
        <v>2.3923444976076555E-2</v>
      </c>
    </row>
    <row r="370" spans="1:7" x14ac:dyDescent="0.25">
      <c r="A370" s="63">
        <v>12</v>
      </c>
      <c r="B370" s="26">
        <v>1</v>
      </c>
      <c r="C370" s="5">
        <f t="shared" si="5"/>
        <v>3.003003003003003E-3</v>
      </c>
      <c r="D370" s="58">
        <v>1</v>
      </c>
      <c r="E370" s="5">
        <f t="shared" si="6"/>
        <v>5.0505050505050509E-3</v>
      </c>
      <c r="F370" s="58">
        <v>2</v>
      </c>
      <c r="G370" s="5">
        <f t="shared" si="7"/>
        <v>9.5693779904306216E-3</v>
      </c>
    </row>
    <row r="371" spans="1:7" x14ac:dyDescent="0.25">
      <c r="A371" s="63">
        <v>13</v>
      </c>
      <c r="B371" s="26">
        <v>1</v>
      </c>
      <c r="C371" s="5">
        <f t="shared" si="5"/>
        <v>3.003003003003003E-3</v>
      </c>
      <c r="D371" s="58">
        <v>1</v>
      </c>
      <c r="E371" s="5">
        <f t="shared" si="6"/>
        <v>5.0505050505050509E-3</v>
      </c>
      <c r="F371" s="58">
        <v>1</v>
      </c>
      <c r="G371" s="5">
        <f t="shared" si="7"/>
        <v>4.7846889952153108E-3</v>
      </c>
    </row>
    <row r="372" spans="1:7" x14ac:dyDescent="0.25">
      <c r="A372" s="63">
        <v>14</v>
      </c>
      <c r="B372" s="26">
        <v>1</v>
      </c>
      <c r="C372" s="5">
        <f t="shared" si="5"/>
        <v>3.003003003003003E-3</v>
      </c>
      <c r="D372" s="58">
        <v>0</v>
      </c>
      <c r="E372" s="5">
        <f t="shared" si="6"/>
        <v>0</v>
      </c>
      <c r="F372" s="58">
        <v>0</v>
      </c>
      <c r="G372" s="5">
        <f t="shared" si="7"/>
        <v>0</v>
      </c>
    </row>
    <row r="373" spans="1:7" x14ac:dyDescent="0.25">
      <c r="A373" s="63">
        <v>15</v>
      </c>
      <c r="B373" s="26">
        <v>2</v>
      </c>
      <c r="C373" s="5">
        <f t="shared" si="5"/>
        <v>6.006006006006006E-3</v>
      </c>
      <c r="D373" s="58">
        <v>0</v>
      </c>
      <c r="E373" s="5">
        <f t="shared" si="6"/>
        <v>0</v>
      </c>
      <c r="F373" s="58">
        <v>0</v>
      </c>
      <c r="G373" s="5">
        <f t="shared" si="7"/>
        <v>0</v>
      </c>
    </row>
    <row r="374" spans="1:7" x14ac:dyDescent="0.25">
      <c r="A374" s="63">
        <v>16</v>
      </c>
      <c r="B374" s="26">
        <v>2</v>
      </c>
      <c r="C374" s="5">
        <f t="shared" si="5"/>
        <v>6.006006006006006E-3</v>
      </c>
      <c r="D374" s="58">
        <v>1</v>
      </c>
      <c r="E374" s="5">
        <f t="shared" si="6"/>
        <v>5.0505050505050509E-3</v>
      </c>
      <c r="F374" s="58">
        <v>1</v>
      </c>
      <c r="G374" s="5">
        <f t="shared" si="7"/>
        <v>4.7846889952153108E-3</v>
      </c>
    </row>
    <row r="375" spans="1:7" x14ac:dyDescent="0.25">
      <c r="A375" s="63">
        <v>17</v>
      </c>
      <c r="B375" s="26">
        <v>0</v>
      </c>
      <c r="C375" s="5">
        <f t="shared" si="5"/>
        <v>0</v>
      </c>
      <c r="D375" s="58">
        <v>1</v>
      </c>
      <c r="E375" s="5">
        <f t="shared" si="6"/>
        <v>5.0505050505050509E-3</v>
      </c>
      <c r="F375" s="58">
        <v>0</v>
      </c>
      <c r="G375" s="5">
        <f t="shared" si="7"/>
        <v>0</v>
      </c>
    </row>
    <row r="376" spans="1:7" x14ac:dyDescent="0.25">
      <c r="A376" s="63">
        <v>18</v>
      </c>
      <c r="B376" s="26">
        <v>0</v>
      </c>
      <c r="C376" s="5">
        <f t="shared" si="5"/>
        <v>0</v>
      </c>
      <c r="D376" s="58">
        <v>0</v>
      </c>
      <c r="E376" s="5">
        <f t="shared" si="6"/>
        <v>0</v>
      </c>
      <c r="F376" s="58">
        <v>0</v>
      </c>
      <c r="G376" s="5">
        <f t="shared" si="7"/>
        <v>0</v>
      </c>
    </row>
    <row r="377" spans="1:7" x14ac:dyDescent="0.25">
      <c r="A377" s="63">
        <v>19</v>
      </c>
      <c r="B377" s="26">
        <v>0</v>
      </c>
      <c r="C377" s="5">
        <f t="shared" si="5"/>
        <v>0</v>
      </c>
      <c r="D377" s="58">
        <v>0</v>
      </c>
      <c r="E377" s="5">
        <f t="shared" si="6"/>
        <v>0</v>
      </c>
      <c r="F377" s="58">
        <v>0</v>
      </c>
      <c r="G377" s="5">
        <f t="shared" si="7"/>
        <v>0</v>
      </c>
    </row>
    <row r="378" spans="1:7" x14ac:dyDescent="0.25">
      <c r="A378" s="63">
        <v>20</v>
      </c>
      <c r="B378" s="26">
        <v>0</v>
      </c>
      <c r="C378" s="5">
        <f t="shared" si="5"/>
        <v>0</v>
      </c>
      <c r="D378" s="58">
        <v>0</v>
      </c>
      <c r="E378" s="5">
        <f t="shared" si="6"/>
        <v>0</v>
      </c>
      <c r="F378" s="58">
        <v>0</v>
      </c>
      <c r="G378" s="5">
        <f t="shared" si="7"/>
        <v>0</v>
      </c>
    </row>
    <row r="379" spans="1:7" x14ac:dyDescent="0.25">
      <c r="A379" s="63">
        <v>21</v>
      </c>
      <c r="B379" s="26">
        <v>6</v>
      </c>
      <c r="C379" s="5">
        <f t="shared" si="5"/>
        <v>1.8018018018018018E-2</v>
      </c>
      <c r="D379" s="58">
        <v>0</v>
      </c>
      <c r="E379" s="5">
        <f t="shared" si="6"/>
        <v>0</v>
      </c>
      <c r="F379" s="58">
        <v>0</v>
      </c>
      <c r="G379" s="5">
        <f t="shared" si="7"/>
        <v>0</v>
      </c>
    </row>
    <row r="380" spans="1:7" x14ac:dyDescent="0.25">
      <c r="A380" s="63">
        <v>22</v>
      </c>
      <c r="B380" s="26">
        <v>0</v>
      </c>
      <c r="C380" s="5">
        <f t="shared" si="5"/>
        <v>0</v>
      </c>
      <c r="D380" s="58">
        <v>2</v>
      </c>
      <c r="E380" s="5">
        <f t="shared" si="6"/>
        <v>1.0101010101010102E-2</v>
      </c>
      <c r="F380" s="58">
        <v>4</v>
      </c>
      <c r="G380" s="5">
        <f t="shared" si="7"/>
        <v>1.9138755980861243E-2</v>
      </c>
    </row>
    <row r="381" spans="1:7" x14ac:dyDescent="0.25">
      <c r="A381" s="58" t="s">
        <v>53</v>
      </c>
      <c r="B381" s="65">
        <f>SUM(B358:B380)</f>
        <v>333</v>
      </c>
      <c r="C381" s="5">
        <f t="shared" si="5"/>
        <v>1</v>
      </c>
      <c r="D381" s="58">
        <f>SUM(D358:D380)</f>
        <v>198</v>
      </c>
      <c r="E381" s="5">
        <f t="shared" si="6"/>
        <v>1</v>
      </c>
      <c r="F381" s="58">
        <f>SUM(F358:F380)</f>
        <v>209</v>
      </c>
      <c r="G381" s="5">
        <f t="shared" si="7"/>
        <v>1</v>
      </c>
    </row>
    <row r="384" spans="1:7" x14ac:dyDescent="0.25">
      <c r="A384" s="17" t="s">
        <v>288</v>
      </c>
    </row>
    <row r="385" spans="1:7" x14ac:dyDescent="0.25">
      <c r="B385" s="66"/>
    </row>
    <row r="386" spans="1:7" x14ac:dyDescent="0.25">
      <c r="A386" s="58"/>
      <c r="B386" s="58" t="s">
        <v>289</v>
      </c>
      <c r="C386" s="58" t="s">
        <v>290</v>
      </c>
      <c r="D386" s="58" t="s">
        <v>291</v>
      </c>
      <c r="E386" s="58" t="s">
        <v>292</v>
      </c>
      <c r="F386" s="58" t="s">
        <v>293</v>
      </c>
      <c r="G386" s="58" t="s">
        <v>294</v>
      </c>
    </row>
    <row r="387" spans="1:7" x14ac:dyDescent="0.25">
      <c r="A387" s="58" t="s">
        <v>295</v>
      </c>
      <c r="B387" s="5">
        <v>0.25418060200668896</v>
      </c>
      <c r="C387" s="5">
        <v>0.35451505016722407</v>
      </c>
      <c r="D387" s="5">
        <v>0.27424749163879597</v>
      </c>
      <c r="E387" s="5">
        <v>4.6822742474916385E-2</v>
      </c>
      <c r="F387" s="5">
        <v>3.678929765886288E-2</v>
      </c>
      <c r="G387" s="5">
        <v>3.3444816053511704E-2</v>
      </c>
    </row>
    <row r="388" spans="1:7" x14ac:dyDescent="0.25">
      <c r="A388" s="58" t="s">
        <v>296</v>
      </c>
      <c r="B388" s="5">
        <v>0.21926910299003322</v>
      </c>
      <c r="C388" s="5">
        <v>0.23588039867109634</v>
      </c>
      <c r="D388" s="5">
        <v>0.20598006644518271</v>
      </c>
      <c r="E388" s="5">
        <v>0.16279069767441862</v>
      </c>
      <c r="F388" s="5">
        <v>9.3023255813953487E-2</v>
      </c>
      <c r="G388" s="5">
        <v>8.3056478405315617E-2</v>
      </c>
    </row>
    <row r="389" spans="1:7" x14ac:dyDescent="0.25">
      <c r="A389" s="58" t="s">
        <v>297</v>
      </c>
      <c r="B389" s="5">
        <v>0.71138211382113825</v>
      </c>
      <c r="C389" s="5">
        <v>0.17886178861788618</v>
      </c>
      <c r="D389" s="5">
        <v>6.910569105691057E-2</v>
      </c>
      <c r="E389" s="5">
        <v>1.6260162601626018E-2</v>
      </c>
      <c r="F389" s="5">
        <v>1.2195121951219513E-2</v>
      </c>
      <c r="G389" s="5">
        <v>1.2195121951219513E-2</v>
      </c>
    </row>
    <row r="390" spans="1:7" x14ac:dyDescent="0.25">
      <c r="A390" s="58" t="s">
        <v>298</v>
      </c>
      <c r="B390" s="5">
        <v>0.48471615720524019</v>
      </c>
      <c r="C390" s="5">
        <v>0.28384279475982532</v>
      </c>
      <c r="D390" s="5">
        <v>0.1222707423580786</v>
      </c>
      <c r="E390" s="5">
        <v>6.1135371179039298E-2</v>
      </c>
      <c r="F390" s="5">
        <v>3.4934497816593885E-2</v>
      </c>
      <c r="G390" s="5">
        <v>1.3100436681222707E-2</v>
      </c>
    </row>
    <row r="391" spans="1:7" x14ac:dyDescent="0.25">
      <c r="A391" s="58" t="s">
        <v>299</v>
      </c>
      <c r="B391" s="5">
        <v>0.34403669724770641</v>
      </c>
      <c r="C391" s="5">
        <v>0.23853211009174313</v>
      </c>
      <c r="D391" s="5">
        <v>0.16972477064220184</v>
      </c>
      <c r="E391" s="5">
        <v>0.11009174311926606</v>
      </c>
      <c r="F391" s="5">
        <v>6.8807339449541288E-2</v>
      </c>
      <c r="G391" s="5">
        <v>6.8807339449541288E-2</v>
      </c>
    </row>
    <row r="392" spans="1:7" x14ac:dyDescent="0.25">
      <c r="A392" s="58" t="s">
        <v>300</v>
      </c>
      <c r="B392" s="5">
        <v>0.47422680412371132</v>
      </c>
      <c r="C392" s="5">
        <v>0.20618556701030927</v>
      </c>
      <c r="D392" s="5">
        <v>0.13402061855670103</v>
      </c>
      <c r="E392" s="5">
        <v>0.10309278350515463</v>
      </c>
      <c r="F392" s="5">
        <v>4.1237113402061855E-2</v>
      </c>
      <c r="G392" s="5">
        <v>4.1237113402061855E-2</v>
      </c>
    </row>
    <row r="393" spans="1:7" x14ac:dyDescent="0.25">
      <c r="A393" s="58" t="s">
        <v>301</v>
      </c>
      <c r="B393" s="5">
        <v>0.66363636363636369</v>
      </c>
      <c r="C393" s="5">
        <v>0.22727272727272727</v>
      </c>
      <c r="D393" s="5">
        <v>0.05</v>
      </c>
      <c r="E393" s="5">
        <v>2.2727272727272728E-2</v>
      </c>
      <c r="F393" s="5">
        <v>1.8181818181818181E-2</v>
      </c>
      <c r="G393" s="5">
        <v>1.8181818181818181E-2</v>
      </c>
    </row>
    <row r="394" spans="1:7" x14ac:dyDescent="0.25">
      <c r="A394" s="58" t="s">
        <v>302</v>
      </c>
      <c r="B394" s="5">
        <v>0.63366336633663367</v>
      </c>
      <c r="C394" s="5">
        <v>0.21782178217821782</v>
      </c>
      <c r="D394" s="5">
        <v>6.9306930693069313E-2</v>
      </c>
      <c r="E394" s="5">
        <v>9.9009900990099011E-3</v>
      </c>
      <c r="F394" s="5">
        <v>1.9801980198019802E-2</v>
      </c>
      <c r="G394" s="5">
        <v>4.9504950495049507E-2</v>
      </c>
    </row>
    <row r="395" spans="1:7" x14ac:dyDescent="0.25">
      <c r="A395" s="58" t="s">
        <v>303</v>
      </c>
      <c r="B395" s="5">
        <v>0.18571428571428572</v>
      </c>
      <c r="C395" s="5">
        <v>0.22142857142857142</v>
      </c>
      <c r="D395" s="5">
        <v>0.19642857142857142</v>
      </c>
      <c r="E395" s="5">
        <v>0.11785714285714285</v>
      </c>
      <c r="F395" s="5">
        <v>9.6428571428571433E-2</v>
      </c>
      <c r="G395" s="5">
        <v>0.18214285714285713</v>
      </c>
    </row>
    <row r="396" spans="1:7" x14ac:dyDescent="0.25">
      <c r="A396" s="58" t="s">
        <v>304</v>
      </c>
      <c r="B396" s="5">
        <v>0.56862745098039214</v>
      </c>
      <c r="C396" s="5">
        <v>0.13725490196078433</v>
      </c>
      <c r="D396" s="5">
        <v>9.8039215686274508E-2</v>
      </c>
      <c r="E396" s="5">
        <v>7.8431372549019607E-2</v>
      </c>
      <c r="F396" s="5">
        <v>3.9215686274509803E-2</v>
      </c>
      <c r="G396" s="5">
        <v>7.8431372549019607E-2</v>
      </c>
    </row>
    <row r="397" spans="1:7" x14ac:dyDescent="0.25">
      <c r="A397" s="58" t="s">
        <v>305</v>
      </c>
      <c r="B397" s="5">
        <v>0.2318840579710145</v>
      </c>
      <c r="C397" s="5">
        <v>8.6956521739130432E-2</v>
      </c>
      <c r="D397" s="5">
        <v>8.6956521739130432E-2</v>
      </c>
      <c r="E397" s="5">
        <v>2.8985507246376812E-2</v>
      </c>
      <c r="F397" s="5">
        <v>4.3478260869565216E-2</v>
      </c>
      <c r="G397" s="5">
        <v>0.52173913043478259</v>
      </c>
    </row>
    <row r="398" spans="1:7" x14ac:dyDescent="0.25">
      <c r="A398" s="58" t="s">
        <v>306</v>
      </c>
      <c r="B398" s="5">
        <v>0.24038461538461539</v>
      </c>
      <c r="C398" s="5">
        <v>0.35897435897435898</v>
      </c>
      <c r="D398" s="5">
        <v>0.22115384615384615</v>
      </c>
      <c r="E398" s="5">
        <v>7.6923076923076927E-2</v>
      </c>
      <c r="F398" s="5">
        <v>6.0897435897435896E-2</v>
      </c>
      <c r="G398" s="5">
        <v>4.1666666666666664E-2</v>
      </c>
    </row>
    <row r="401" spans="1:4" x14ac:dyDescent="0.25">
      <c r="A401" s="17" t="s">
        <v>307</v>
      </c>
    </row>
    <row r="403" spans="1:4" x14ac:dyDescent="0.25">
      <c r="A403" s="58"/>
      <c r="B403" s="58" t="s">
        <v>250</v>
      </c>
      <c r="C403" s="58" t="s">
        <v>251</v>
      </c>
      <c r="D403" s="5" t="s">
        <v>240</v>
      </c>
    </row>
    <row r="404" spans="1:4" x14ac:dyDescent="0.25">
      <c r="A404" s="58" t="s">
        <v>308</v>
      </c>
      <c r="B404" s="5">
        <v>0.90939597315436238</v>
      </c>
      <c r="C404" s="5">
        <v>5.0335570469798654E-2</v>
      </c>
      <c r="D404" s="5">
        <v>4.0268456375838924E-2</v>
      </c>
    </row>
    <row r="405" spans="1:4" x14ac:dyDescent="0.25">
      <c r="A405" s="58" t="s">
        <v>309</v>
      </c>
      <c r="B405" s="5">
        <v>0.77181208053691275</v>
      </c>
      <c r="C405" s="5">
        <v>0.17114093959731544</v>
      </c>
      <c r="D405" s="5">
        <v>5.7046979865771813E-2</v>
      </c>
    </row>
    <row r="406" spans="1:4" x14ac:dyDescent="0.25">
      <c r="A406" s="58" t="s">
        <v>310</v>
      </c>
      <c r="B406" s="5">
        <v>0.71621621621621623</v>
      </c>
      <c r="C406" s="5">
        <v>0.23648648648648649</v>
      </c>
      <c r="D406" s="5">
        <v>4.72972972972973E-2</v>
      </c>
    </row>
    <row r="407" spans="1:4" x14ac:dyDescent="0.25">
      <c r="A407" s="58" t="s">
        <v>311</v>
      </c>
      <c r="B407" s="5">
        <v>0.67785234899328861</v>
      </c>
      <c r="C407" s="5">
        <v>0.24832214765100671</v>
      </c>
      <c r="D407" s="5">
        <v>7.3825503355704702E-2</v>
      </c>
    </row>
    <row r="408" spans="1:4" x14ac:dyDescent="0.25">
      <c r="A408" s="58" t="s">
        <v>312</v>
      </c>
      <c r="B408" s="5">
        <v>0.72297297297297303</v>
      </c>
      <c r="C408" s="5">
        <v>0.21621621621621623</v>
      </c>
      <c r="D408" s="5">
        <v>6.0810810810810814E-2</v>
      </c>
    </row>
    <row r="409" spans="1:4" x14ac:dyDescent="0.25">
      <c r="A409" s="58" t="s">
        <v>313</v>
      </c>
      <c r="B409" s="5">
        <v>0.43389830508474575</v>
      </c>
      <c r="C409" s="5">
        <v>0.3559322033898305</v>
      </c>
      <c r="D409" s="5">
        <v>0.21016949152542372</v>
      </c>
    </row>
    <row r="410" spans="1:4" x14ac:dyDescent="0.25">
      <c r="A410" s="58" t="s">
        <v>314</v>
      </c>
      <c r="B410" s="5">
        <v>0.64983164983164987</v>
      </c>
      <c r="C410" s="5">
        <v>0.29629629629629628</v>
      </c>
      <c r="D410" s="5">
        <v>5.387205387205387E-2</v>
      </c>
    </row>
    <row r="411" spans="1:4" x14ac:dyDescent="0.25">
      <c r="A411" s="58" t="s">
        <v>315</v>
      </c>
      <c r="B411" s="5">
        <v>0.55704697986577179</v>
      </c>
      <c r="C411" s="5">
        <v>0.34899328859060402</v>
      </c>
      <c r="D411" s="5">
        <v>9.3959731543624164E-2</v>
      </c>
    </row>
    <row r="412" spans="1:4" x14ac:dyDescent="0.25">
      <c r="A412" s="58" t="s">
        <v>316</v>
      </c>
      <c r="B412" s="5">
        <v>0.55892255892255893</v>
      </c>
      <c r="C412" s="5">
        <v>0.37373737373737376</v>
      </c>
      <c r="D412" s="5">
        <v>6.7340067340067339E-2</v>
      </c>
    </row>
    <row r="413" spans="1:4" x14ac:dyDescent="0.25">
      <c r="A413" s="58" t="s">
        <v>317</v>
      </c>
      <c r="B413" s="5">
        <v>0.69387755102040816</v>
      </c>
      <c r="C413" s="5">
        <v>0.25170068027210885</v>
      </c>
      <c r="D413" s="5">
        <v>5.4421768707482991E-2</v>
      </c>
    </row>
    <row r="414" spans="1:4" x14ac:dyDescent="0.25">
      <c r="A414" s="58" t="s">
        <v>318</v>
      </c>
      <c r="B414" s="5">
        <v>0.60544217687074831</v>
      </c>
      <c r="C414" s="5">
        <v>0.30612244897959184</v>
      </c>
      <c r="D414" s="5">
        <v>8.8435374149659865E-2</v>
      </c>
    </row>
    <row r="417" spans="1:5" x14ac:dyDescent="0.25">
      <c r="A417" s="17" t="s">
        <v>323</v>
      </c>
    </row>
    <row r="419" spans="1:5" x14ac:dyDescent="0.25">
      <c r="A419" s="58"/>
      <c r="B419" s="58" t="s">
        <v>250</v>
      </c>
      <c r="C419" s="58" t="s">
        <v>251</v>
      </c>
      <c r="D419" s="58" t="s">
        <v>182</v>
      </c>
    </row>
    <row r="420" spans="1:5" x14ac:dyDescent="0.25">
      <c r="A420" s="58" t="s">
        <v>320</v>
      </c>
      <c r="B420" s="5">
        <v>0.64666666666666661</v>
      </c>
      <c r="C420" s="5">
        <v>0.22333333333333333</v>
      </c>
      <c r="D420" s="5">
        <v>0.13</v>
      </c>
    </row>
    <row r="421" spans="1:5" ht="30" x14ac:dyDescent="0.25">
      <c r="A421" s="53" t="s">
        <v>321</v>
      </c>
      <c r="B421" s="5">
        <v>0.55333333333333334</v>
      </c>
      <c r="C421" s="5">
        <v>0.27666666666666667</v>
      </c>
      <c r="D421" s="5">
        <v>0.17</v>
      </c>
    </row>
    <row r="422" spans="1:5" x14ac:dyDescent="0.25">
      <c r="A422" s="58" t="s">
        <v>322</v>
      </c>
      <c r="B422" s="5">
        <v>0.49</v>
      </c>
      <c r="C422" s="5">
        <v>0.35666666666666669</v>
      </c>
      <c r="D422" s="5">
        <v>0.15333333333333332</v>
      </c>
    </row>
    <row r="425" spans="1:5" x14ac:dyDescent="0.25">
      <c r="A425" s="17" t="s">
        <v>324</v>
      </c>
    </row>
    <row r="427" spans="1:5" x14ac:dyDescent="0.25">
      <c r="A427" s="58"/>
      <c r="B427" s="58" t="s">
        <v>337</v>
      </c>
      <c r="C427" s="58" t="s">
        <v>338</v>
      </c>
      <c r="D427" s="58" t="s">
        <v>339</v>
      </c>
      <c r="E427" s="58" t="s">
        <v>275</v>
      </c>
    </row>
    <row r="428" spans="1:5" x14ac:dyDescent="0.25">
      <c r="A428" s="58" t="s">
        <v>325</v>
      </c>
      <c r="B428" s="5">
        <v>0.73310810810810811</v>
      </c>
      <c r="C428" s="5">
        <v>0.13175675675675674</v>
      </c>
      <c r="D428" s="5">
        <v>0.10810810810810811</v>
      </c>
      <c r="E428" s="5">
        <v>2.7027027027027029E-2</v>
      </c>
    </row>
    <row r="429" spans="1:5" x14ac:dyDescent="0.25">
      <c r="A429" s="58" t="s">
        <v>326</v>
      </c>
      <c r="B429" s="5">
        <v>0.51379310344827589</v>
      </c>
      <c r="C429" s="5">
        <v>0.16206896551724137</v>
      </c>
      <c r="D429" s="5">
        <v>0.19655172413793104</v>
      </c>
      <c r="E429" s="5">
        <v>0.12758620689655173</v>
      </c>
    </row>
    <row r="430" spans="1:5" x14ac:dyDescent="0.25">
      <c r="A430" s="58" t="s">
        <v>327</v>
      </c>
      <c r="B430" s="5">
        <v>0.20274914089347079</v>
      </c>
      <c r="C430" s="5">
        <v>0.12371134020618557</v>
      </c>
      <c r="D430" s="5">
        <v>0.35395189003436428</v>
      </c>
      <c r="E430" s="5">
        <v>0.31958762886597936</v>
      </c>
    </row>
    <row r="431" spans="1:5" x14ac:dyDescent="0.25">
      <c r="A431" s="58" t="s">
        <v>328</v>
      </c>
      <c r="B431" s="5">
        <v>0.2773972602739726</v>
      </c>
      <c r="C431" s="5">
        <v>0.1678082191780822</v>
      </c>
      <c r="D431" s="5">
        <v>0.24315068493150685</v>
      </c>
      <c r="E431" s="5">
        <v>0.31164383561643838</v>
      </c>
    </row>
    <row r="432" spans="1:5" x14ac:dyDescent="0.25">
      <c r="A432" s="58" t="s">
        <v>329</v>
      </c>
      <c r="B432" s="5">
        <v>0.26190476190476192</v>
      </c>
      <c r="C432" s="5">
        <v>0.16326530612244897</v>
      </c>
      <c r="D432" s="5">
        <v>0.32993197278911562</v>
      </c>
      <c r="E432" s="5">
        <v>0.24489795918367346</v>
      </c>
    </row>
    <row r="433" spans="1:5" x14ac:dyDescent="0.25">
      <c r="A433" s="58" t="s">
        <v>330</v>
      </c>
      <c r="B433" s="5">
        <v>0.2696245733788396</v>
      </c>
      <c r="C433" s="5">
        <v>0.25597269624573377</v>
      </c>
      <c r="D433" s="5">
        <v>0.28668941979522183</v>
      </c>
      <c r="E433" s="5">
        <v>0.18771331058020477</v>
      </c>
    </row>
    <row r="434" spans="1:5" x14ac:dyDescent="0.25">
      <c r="A434" s="58" t="s">
        <v>331</v>
      </c>
      <c r="B434" s="5">
        <v>0.19112627986348124</v>
      </c>
      <c r="C434" s="5">
        <v>0.18088737201365188</v>
      </c>
      <c r="D434" s="5">
        <v>0.38225255972696248</v>
      </c>
      <c r="E434" s="5">
        <v>0.24573378839590443</v>
      </c>
    </row>
    <row r="435" spans="1:5" x14ac:dyDescent="0.25">
      <c r="A435" s="58" t="s">
        <v>332</v>
      </c>
      <c r="B435" s="5">
        <v>0.1736111111111111</v>
      </c>
      <c r="C435" s="5">
        <v>0.1388888888888889</v>
      </c>
      <c r="D435" s="5">
        <v>0.22569444444444445</v>
      </c>
      <c r="E435" s="5">
        <v>0.46180555555555558</v>
      </c>
    </row>
    <row r="436" spans="1:5" x14ac:dyDescent="0.25">
      <c r="A436" s="58" t="s">
        <v>333</v>
      </c>
      <c r="B436" s="5">
        <v>5.4237288135593219E-2</v>
      </c>
      <c r="C436" s="5">
        <v>3.7288135593220341E-2</v>
      </c>
      <c r="D436" s="5">
        <v>0.27457627118644068</v>
      </c>
      <c r="E436" s="5">
        <v>0.63389830508474576</v>
      </c>
    </row>
    <row r="437" spans="1:5" x14ac:dyDescent="0.25">
      <c r="A437" s="58" t="s">
        <v>334</v>
      </c>
      <c r="B437" s="5">
        <v>0.14625850340136054</v>
      </c>
      <c r="C437" s="5">
        <v>6.4625850340136057E-2</v>
      </c>
      <c r="D437" s="5">
        <v>0.20068027210884354</v>
      </c>
      <c r="E437" s="5">
        <v>0.58843537414965985</v>
      </c>
    </row>
    <row r="438" spans="1:5" x14ac:dyDescent="0.25">
      <c r="A438" s="58" t="s">
        <v>335</v>
      </c>
      <c r="B438" s="5">
        <v>0.48805460750853241</v>
      </c>
      <c r="C438" s="5">
        <v>0.2764505119453925</v>
      </c>
      <c r="D438" s="5">
        <v>0.16040955631399317</v>
      </c>
      <c r="E438" s="5">
        <v>7.5085324232081918E-2</v>
      </c>
    </row>
    <row r="439" spans="1:5" x14ac:dyDescent="0.25">
      <c r="A439" s="58" t="s">
        <v>336</v>
      </c>
      <c r="B439" s="5">
        <v>0.35836177474402731</v>
      </c>
      <c r="C439" s="5">
        <v>0.25255972696245732</v>
      </c>
      <c r="D439" s="5">
        <v>0.29351535836177473</v>
      </c>
      <c r="E439" s="5">
        <v>9.556313993174062E-2</v>
      </c>
    </row>
    <row r="442" spans="1:5" x14ac:dyDescent="0.25">
      <c r="A442" s="17" t="s">
        <v>340</v>
      </c>
    </row>
    <row r="444" spans="1:5" x14ac:dyDescent="0.25">
      <c r="A444" s="58"/>
      <c r="B444" s="58" t="s">
        <v>337</v>
      </c>
      <c r="C444" s="58" t="s">
        <v>338</v>
      </c>
      <c r="D444" s="58" t="s">
        <v>339</v>
      </c>
      <c r="E444" s="58" t="s">
        <v>275</v>
      </c>
    </row>
    <row r="445" spans="1:5" x14ac:dyDescent="0.25">
      <c r="A445" s="58" t="s">
        <v>341</v>
      </c>
      <c r="B445" s="5">
        <v>0.2361111111111111</v>
      </c>
      <c r="C445" s="5">
        <v>0.25347222222222221</v>
      </c>
      <c r="D445" s="5">
        <v>0.15277777777777779</v>
      </c>
      <c r="E445" s="5">
        <v>0.3576388888888889</v>
      </c>
    </row>
    <row r="446" spans="1:5" x14ac:dyDescent="0.25">
      <c r="A446" s="58" t="s">
        <v>342</v>
      </c>
      <c r="B446" s="5">
        <v>0.18571428571428572</v>
      </c>
      <c r="C446" s="5">
        <v>0.12857142857142856</v>
      </c>
      <c r="D446" s="5">
        <v>0.26428571428571429</v>
      </c>
      <c r="E446" s="5">
        <v>0.42142857142857143</v>
      </c>
    </row>
    <row r="447" spans="1:5" x14ac:dyDescent="0.25">
      <c r="A447" s="58" t="s">
        <v>343</v>
      </c>
      <c r="B447" s="5">
        <v>0.18439716312056736</v>
      </c>
      <c r="C447" s="5">
        <v>0.15957446808510639</v>
      </c>
      <c r="D447" s="5">
        <v>0.43971631205673761</v>
      </c>
      <c r="E447" s="5">
        <v>0.21631205673758866</v>
      </c>
    </row>
    <row r="448" spans="1:5" x14ac:dyDescent="0.25">
      <c r="A448" s="58" t="s">
        <v>344</v>
      </c>
      <c r="B448" s="5">
        <v>0.28819444444444442</v>
      </c>
      <c r="C448" s="5">
        <v>0.22569444444444445</v>
      </c>
      <c r="D448" s="5">
        <v>0.32291666666666669</v>
      </c>
      <c r="E448" s="5">
        <v>0.16319444444444445</v>
      </c>
    </row>
    <row r="449" spans="1:5" x14ac:dyDescent="0.25">
      <c r="A449" s="58" t="s">
        <v>345</v>
      </c>
      <c r="B449" s="5">
        <v>0.13240418118466898</v>
      </c>
      <c r="C449" s="5">
        <v>0.15331010452961671</v>
      </c>
      <c r="D449" s="5">
        <v>0.37979094076655051</v>
      </c>
      <c r="E449" s="5">
        <v>0.33449477351916379</v>
      </c>
    </row>
    <row r="450" spans="1:5" x14ac:dyDescent="0.25">
      <c r="A450" s="58" t="s">
        <v>346</v>
      </c>
      <c r="B450" s="5">
        <v>6.7615658362989328E-2</v>
      </c>
      <c r="C450" s="5">
        <v>6.4056939501779361E-2</v>
      </c>
      <c r="D450" s="5">
        <v>0.20996441281138789</v>
      </c>
      <c r="E450" s="5">
        <v>0.65836298932384341</v>
      </c>
    </row>
    <row r="451" spans="1:5" x14ac:dyDescent="0.25">
      <c r="A451" s="58" t="s">
        <v>347</v>
      </c>
      <c r="B451" s="5">
        <v>0.37412587412587411</v>
      </c>
      <c r="C451" s="5">
        <v>0.21328671328671328</v>
      </c>
      <c r="D451" s="5">
        <v>0.23776223776223776</v>
      </c>
      <c r="E451" s="5">
        <v>0.17482517482517482</v>
      </c>
    </row>
    <row r="452" spans="1:5" x14ac:dyDescent="0.25">
      <c r="A452" s="58" t="s">
        <v>811</v>
      </c>
      <c r="B452" s="5">
        <v>9.7560975609756101E-2</v>
      </c>
      <c r="C452" s="5">
        <v>8.0139372822299645E-2</v>
      </c>
      <c r="D452" s="5">
        <v>0.3902439024390244</v>
      </c>
      <c r="E452" s="5">
        <v>0.43205574912891986</v>
      </c>
    </row>
    <row r="455" spans="1:5" x14ac:dyDescent="0.25">
      <c r="A455" s="17" t="s">
        <v>349</v>
      </c>
    </row>
    <row r="457" spans="1:5" x14ac:dyDescent="0.25">
      <c r="A457" s="58"/>
      <c r="B457" s="58" t="s">
        <v>250</v>
      </c>
      <c r="C457" s="58" t="s">
        <v>251</v>
      </c>
      <c r="D457" s="58" t="s">
        <v>240</v>
      </c>
    </row>
    <row r="458" spans="1:5" x14ac:dyDescent="0.25">
      <c r="A458" s="58" t="s">
        <v>350</v>
      </c>
      <c r="B458" s="5">
        <v>0.42957746478873238</v>
      </c>
      <c r="C458" s="5">
        <v>0.44718309859154931</v>
      </c>
      <c r="D458" s="5">
        <v>0.12323943661971831</v>
      </c>
    </row>
    <row r="459" spans="1:5" x14ac:dyDescent="0.25">
      <c r="A459" s="58" t="s">
        <v>351</v>
      </c>
      <c r="B459" s="5">
        <v>0.18345323741007194</v>
      </c>
      <c r="C459" s="5">
        <v>0.41726618705035973</v>
      </c>
      <c r="D459" s="5">
        <v>0.39928057553956836</v>
      </c>
    </row>
    <row r="460" spans="1:5" x14ac:dyDescent="0.25">
      <c r="A460" s="58" t="s">
        <v>352</v>
      </c>
      <c r="B460" s="5">
        <v>0.30824372759856633</v>
      </c>
      <c r="C460" s="5">
        <v>0.34767025089605735</v>
      </c>
      <c r="D460" s="5">
        <v>0.34408602150537637</v>
      </c>
    </row>
    <row r="461" spans="1:5" x14ac:dyDescent="0.25">
      <c r="A461" s="58" t="s">
        <v>353</v>
      </c>
      <c r="B461" s="5">
        <v>0.25531914893617019</v>
      </c>
      <c r="C461" s="5">
        <v>0.34397163120567376</v>
      </c>
      <c r="D461" s="5">
        <v>0.40070921985815605</v>
      </c>
    </row>
    <row r="462" spans="1:5" x14ac:dyDescent="0.25">
      <c r="A462" s="58" t="s">
        <v>354</v>
      </c>
      <c r="B462" s="5">
        <v>6.4516129032258063E-2</v>
      </c>
      <c r="C462" s="5">
        <v>0.10752688172043011</v>
      </c>
      <c r="D462" s="5">
        <v>0.82795698924731187</v>
      </c>
    </row>
    <row r="465" spans="1:6" x14ac:dyDescent="0.25">
      <c r="A465" s="17" t="s">
        <v>356</v>
      </c>
    </row>
    <row r="467" spans="1:6" x14ac:dyDescent="0.25">
      <c r="A467" s="58"/>
      <c r="B467" s="58" t="s">
        <v>207</v>
      </c>
      <c r="C467" s="58" t="s">
        <v>98</v>
      </c>
      <c r="D467" s="58" t="s">
        <v>99</v>
      </c>
      <c r="E467" s="58" t="s">
        <v>100</v>
      </c>
      <c r="F467" s="58" t="s">
        <v>53</v>
      </c>
    </row>
    <row r="468" spans="1:6" x14ac:dyDescent="0.25">
      <c r="A468" s="58" t="s">
        <v>357</v>
      </c>
      <c r="B468" s="5">
        <v>0.42446043165467628</v>
      </c>
      <c r="C468" s="5">
        <v>0.42446043165467628</v>
      </c>
      <c r="D468" s="5">
        <v>8.6330935251798566E-2</v>
      </c>
      <c r="E468" s="5">
        <v>6.4748201438848921E-2</v>
      </c>
      <c r="F468" s="5">
        <v>1</v>
      </c>
    </row>
    <row r="469" spans="1:6" x14ac:dyDescent="0.25">
      <c r="A469" s="58" t="s">
        <v>358</v>
      </c>
      <c r="B469" s="5">
        <v>0.71167883211678828</v>
      </c>
      <c r="C469" s="5">
        <v>0.25547445255474455</v>
      </c>
      <c r="D469" s="5">
        <v>1.824817518248175E-2</v>
      </c>
      <c r="E469" s="5">
        <v>1.4598540145985401E-2</v>
      </c>
      <c r="F469" s="5">
        <v>1</v>
      </c>
    </row>
    <row r="470" spans="1:6" x14ac:dyDescent="0.25">
      <c r="A470" s="58" t="s">
        <v>359</v>
      </c>
      <c r="B470" s="5">
        <v>0.56727272727272726</v>
      </c>
      <c r="C470" s="5">
        <v>0.37454545454545457</v>
      </c>
      <c r="D470" s="5">
        <v>4.7272727272727272E-2</v>
      </c>
      <c r="E470" s="5">
        <v>1.090909090909091E-2</v>
      </c>
      <c r="F470" s="5">
        <v>1</v>
      </c>
    </row>
    <row r="471" spans="1:6" x14ac:dyDescent="0.25">
      <c r="A471" s="58" t="s">
        <v>360</v>
      </c>
      <c r="B471" s="5">
        <v>0.36594202898550726</v>
      </c>
      <c r="C471" s="5">
        <v>0.47101449275362317</v>
      </c>
      <c r="D471" s="5">
        <v>0.12318840579710146</v>
      </c>
      <c r="E471" s="5">
        <v>3.9855072463768113E-2</v>
      </c>
      <c r="F471" s="5">
        <v>1</v>
      </c>
    </row>
    <row r="472" spans="1:6" x14ac:dyDescent="0.25">
      <c r="A472" s="58" t="s">
        <v>361</v>
      </c>
      <c r="B472" s="5">
        <v>0.2563176895306859</v>
      </c>
      <c r="C472" s="5">
        <v>0.44404332129963897</v>
      </c>
      <c r="D472" s="5">
        <v>0.23104693140794225</v>
      </c>
      <c r="E472" s="5">
        <v>6.8592057761732855E-2</v>
      </c>
      <c r="F472" s="5">
        <v>1</v>
      </c>
    </row>
    <row r="473" spans="1:6" x14ac:dyDescent="0.25">
      <c r="A473" s="58" t="s">
        <v>362</v>
      </c>
      <c r="B473" s="5">
        <v>0.33454545454545453</v>
      </c>
      <c r="C473" s="5">
        <v>0.49454545454545457</v>
      </c>
      <c r="D473" s="5">
        <v>0.12363636363636364</v>
      </c>
      <c r="E473" s="5">
        <v>4.7272727272727272E-2</v>
      </c>
      <c r="F473" s="5">
        <v>1</v>
      </c>
    </row>
    <row r="474" spans="1:6" x14ac:dyDescent="0.25">
      <c r="A474" s="58" t="s">
        <v>363</v>
      </c>
      <c r="B474" s="5">
        <v>0.48736462093862815</v>
      </c>
      <c r="C474" s="5">
        <v>0.35379061371841153</v>
      </c>
      <c r="D474" s="5">
        <v>0.10469314079422383</v>
      </c>
      <c r="E474" s="5">
        <v>5.4151624548736461E-2</v>
      </c>
      <c r="F474" s="5">
        <v>1</v>
      </c>
    </row>
    <row r="475" spans="1:6" x14ac:dyDescent="0.25">
      <c r="A475" s="58" t="s">
        <v>364</v>
      </c>
      <c r="B475" s="5">
        <v>0.76277372262773724</v>
      </c>
      <c r="C475" s="5">
        <v>0.19343065693430658</v>
      </c>
      <c r="D475" s="5">
        <v>3.2846715328467155E-2</v>
      </c>
      <c r="E475" s="5">
        <v>1.0948905109489052E-2</v>
      </c>
      <c r="F475" s="5">
        <v>1</v>
      </c>
    </row>
    <row r="476" spans="1:6" x14ac:dyDescent="0.25">
      <c r="A476" s="58" t="s">
        <v>365</v>
      </c>
      <c r="B476" s="5">
        <v>0.63043478260869568</v>
      </c>
      <c r="C476" s="5">
        <v>0.30434782608695654</v>
      </c>
      <c r="D476" s="5">
        <v>4.710144927536232E-2</v>
      </c>
      <c r="E476" s="5">
        <v>1.8115942028985508E-2</v>
      </c>
      <c r="F476" s="5">
        <v>1</v>
      </c>
    </row>
    <row r="479" spans="1:6" x14ac:dyDescent="0.25">
      <c r="A479" s="17" t="s">
        <v>366</v>
      </c>
    </row>
    <row r="481" spans="1:5" x14ac:dyDescent="0.25">
      <c r="A481" s="5"/>
      <c r="B481" s="5" t="s">
        <v>97</v>
      </c>
      <c r="C481" s="5" t="s">
        <v>374</v>
      </c>
      <c r="D481" s="5" t="s">
        <v>209</v>
      </c>
      <c r="E481" s="5" t="s">
        <v>100</v>
      </c>
    </row>
    <row r="482" spans="1:5" x14ac:dyDescent="0.25">
      <c r="A482" s="29" t="s">
        <v>367</v>
      </c>
      <c r="B482" s="5">
        <v>0.19702602230483271</v>
      </c>
      <c r="C482" s="5">
        <v>0.5204460966542751</v>
      </c>
      <c r="D482" s="5">
        <v>0.19702602230483271</v>
      </c>
      <c r="E482" s="5">
        <v>8.5501858736059477E-2</v>
      </c>
    </row>
    <row r="483" spans="1:5" ht="30" x14ac:dyDescent="0.25">
      <c r="A483" s="29" t="s">
        <v>368</v>
      </c>
      <c r="B483" s="5">
        <v>0.71375464684014867</v>
      </c>
      <c r="C483" s="5">
        <v>0.26394052044609667</v>
      </c>
      <c r="D483" s="5">
        <v>1.4869888475836431E-2</v>
      </c>
      <c r="E483" s="5">
        <v>7.4349442379182153E-3</v>
      </c>
    </row>
    <row r="484" spans="1:5" ht="30" x14ac:dyDescent="0.25">
      <c r="A484" s="29" t="s">
        <v>369</v>
      </c>
      <c r="B484" s="5">
        <v>0.62825278810408924</v>
      </c>
      <c r="C484" s="5">
        <v>0.32342007434944237</v>
      </c>
      <c r="D484" s="5">
        <v>4.4609665427509292E-2</v>
      </c>
      <c r="E484" s="5">
        <v>3.7174721189591076E-3</v>
      </c>
    </row>
    <row r="485" spans="1:5" ht="30" x14ac:dyDescent="0.25">
      <c r="A485" s="29" t="s">
        <v>370</v>
      </c>
      <c r="B485" s="5">
        <v>0.19083969465648856</v>
      </c>
      <c r="C485" s="5">
        <v>0.38167938931297712</v>
      </c>
      <c r="D485" s="5">
        <v>0.33969465648854963</v>
      </c>
      <c r="E485" s="5">
        <v>8.7786259541984726E-2</v>
      </c>
    </row>
    <row r="486" spans="1:5" x14ac:dyDescent="0.25">
      <c r="A486" s="29" t="s">
        <v>371</v>
      </c>
      <c r="B486" s="5">
        <v>0.18867924528301888</v>
      </c>
      <c r="C486" s="5">
        <v>0.3622641509433962</v>
      </c>
      <c r="D486" s="5">
        <v>0.33962264150943394</v>
      </c>
      <c r="E486" s="5">
        <v>0.10943396226415095</v>
      </c>
    </row>
    <row r="487" spans="1:5" x14ac:dyDescent="0.25">
      <c r="A487" s="29" t="s">
        <v>372</v>
      </c>
      <c r="B487" s="5">
        <v>0.29433962264150942</v>
      </c>
      <c r="C487" s="5">
        <v>0.43018867924528303</v>
      </c>
      <c r="D487" s="5">
        <v>0.22264150943396227</v>
      </c>
      <c r="E487" s="5">
        <v>5.2830188679245285E-2</v>
      </c>
    </row>
    <row r="488" spans="1:5" ht="30" x14ac:dyDescent="0.25">
      <c r="A488" s="29" t="s">
        <v>373</v>
      </c>
      <c r="B488" s="5">
        <v>0.24905660377358491</v>
      </c>
      <c r="C488" s="5">
        <v>0.3622641509433962</v>
      </c>
      <c r="D488" s="5">
        <v>0.24905660377358491</v>
      </c>
      <c r="E488" s="5">
        <v>0.13962264150943396</v>
      </c>
    </row>
    <row r="491" spans="1:5" ht="30" x14ac:dyDescent="0.25">
      <c r="A491" s="30" t="s">
        <v>375</v>
      </c>
    </row>
    <row r="493" spans="1:5" x14ac:dyDescent="0.25">
      <c r="A493" s="5"/>
      <c r="B493" s="5" t="s">
        <v>97</v>
      </c>
      <c r="C493" s="5" t="s">
        <v>98</v>
      </c>
      <c r="D493" s="5" t="s">
        <v>209</v>
      </c>
      <c r="E493" s="5" t="s">
        <v>100</v>
      </c>
    </row>
    <row r="494" spans="1:5" x14ac:dyDescent="0.25">
      <c r="A494" s="5" t="s">
        <v>812</v>
      </c>
      <c r="B494" s="5">
        <v>0.2530612244897959</v>
      </c>
      <c r="C494" s="5">
        <v>0.53061224489795922</v>
      </c>
      <c r="D494" s="5">
        <v>0.16734693877551021</v>
      </c>
      <c r="E494" s="5">
        <v>4.8979591836734691E-2</v>
      </c>
    </row>
    <row r="495" spans="1:5" x14ac:dyDescent="0.25">
      <c r="A495" s="5" t="s">
        <v>813</v>
      </c>
      <c r="B495" s="5">
        <v>0.23529411764705882</v>
      </c>
      <c r="C495" s="5">
        <v>0.59663865546218486</v>
      </c>
      <c r="D495" s="5">
        <v>0.13445378151260504</v>
      </c>
      <c r="E495" s="5">
        <v>3.3613445378151259E-2</v>
      </c>
    </row>
    <row r="496" spans="1:5" x14ac:dyDescent="0.25">
      <c r="A496" s="5" t="s">
        <v>378</v>
      </c>
      <c r="B496" s="5">
        <v>3.8297872340425532E-2</v>
      </c>
      <c r="C496" s="5">
        <v>9.7872340425531917E-2</v>
      </c>
      <c r="D496" s="5">
        <v>0.43829787234042555</v>
      </c>
      <c r="E496" s="5">
        <v>0.42553191489361702</v>
      </c>
    </row>
    <row r="497" spans="1:5" x14ac:dyDescent="0.25">
      <c r="A497" s="5" t="s">
        <v>379</v>
      </c>
      <c r="B497" s="5">
        <v>0.22222222222222221</v>
      </c>
      <c r="C497" s="5">
        <v>0.47435897435897434</v>
      </c>
      <c r="D497" s="5">
        <v>0.20085470085470086</v>
      </c>
      <c r="E497" s="5">
        <v>0.10256410256410256</v>
      </c>
    </row>
    <row r="498" spans="1:5" x14ac:dyDescent="0.25">
      <c r="A498" s="5" t="s">
        <v>380</v>
      </c>
      <c r="B498" s="5">
        <v>0.504</v>
      </c>
      <c r="C498" s="5">
        <v>0.376</v>
      </c>
      <c r="D498" s="5">
        <v>7.5999999999999998E-2</v>
      </c>
      <c r="E498" s="5">
        <v>4.3999999999999997E-2</v>
      </c>
    </row>
    <row r="499" spans="1:5" x14ac:dyDescent="0.25">
      <c r="A499" s="5" t="s">
        <v>381</v>
      </c>
      <c r="B499" s="5">
        <v>0.40816326530612246</v>
      </c>
      <c r="C499" s="5">
        <v>0.39591836734693875</v>
      </c>
      <c r="D499" s="5">
        <v>0.11428571428571428</v>
      </c>
      <c r="E499" s="5">
        <v>8.1632653061224483E-2</v>
      </c>
    </row>
    <row r="500" spans="1:5" x14ac:dyDescent="0.25">
      <c r="A500" s="5" t="s">
        <v>382</v>
      </c>
      <c r="B500" s="5">
        <v>0.12757201646090535</v>
      </c>
      <c r="C500" s="5">
        <v>0.44032921810699588</v>
      </c>
      <c r="D500" s="5">
        <v>0.29629629629629628</v>
      </c>
      <c r="E500" s="5">
        <v>0.13580246913580246</v>
      </c>
    </row>
    <row r="501" spans="1:5" x14ac:dyDescent="0.25">
      <c r="A501" s="5" t="s">
        <v>814</v>
      </c>
      <c r="B501" s="5">
        <v>7.407407407407407E-2</v>
      </c>
      <c r="C501" s="5">
        <v>0.35390946502057613</v>
      </c>
      <c r="D501" s="5">
        <v>0.42386831275720166</v>
      </c>
      <c r="E501" s="5">
        <v>0.14814814814814814</v>
      </c>
    </row>
    <row r="502" spans="1:5" x14ac:dyDescent="0.25">
      <c r="A502" s="5" t="s">
        <v>384</v>
      </c>
      <c r="B502" s="5">
        <v>0.34412955465587042</v>
      </c>
      <c r="C502" s="5">
        <v>0.5587044534412956</v>
      </c>
      <c r="D502" s="5">
        <v>7.28744939271255E-2</v>
      </c>
      <c r="E502" s="5">
        <v>2.4291497975708502E-2</v>
      </c>
    </row>
    <row r="503" spans="1:5" x14ac:dyDescent="0.25">
      <c r="A503" s="5" t="s">
        <v>385</v>
      </c>
      <c r="B503" s="5">
        <v>0.10330578512396695</v>
      </c>
      <c r="C503" s="5">
        <v>0.51239669421487599</v>
      </c>
      <c r="D503" s="5">
        <v>0.26859504132231404</v>
      </c>
      <c r="E503" s="5">
        <v>0.11570247933884298</v>
      </c>
    </row>
    <row r="504" spans="1:5" x14ac:dyDescent="0.25">
      <c r="A504" s="5" t="s">
        <v>815</v>
      </c>
      <c r="B504" s="5">
        <v>0.23045267489711935</v>
      </c>
      <c r="C504" s="5">
        <v>0.51028806584362141</v>
      </c>
      <c r="D504" s="5">
        <v>0.19753086419753085</v>
      </c>
      <c r="E504" s="5">
        <v>6.1728395061728392E-2</v>
      </c>
    </row>
    <row r="505" spans="1:5" x14ac:dyDescent="0.25">
      <c r="A505" s="5" t="s">
        <v>387</v>
      </c>
      <c r="B505" s="5">
        <v>0.22857142857142856</v>
      </c>
      <c r="C505" s="5">
        <v>0.45714285714285713</v>
      </c>
      <c r="D505" s="5">
        <v>0.20408163265306123</v>
      </c>
      <c r="E505" s="5">
        <v>0.11020408163265306</v>
      </c>
    </row>
    <row r="506" spans="1:5" x14ac:dyDescent="0.25">
      <c r="A506" s="5" t="s">
        <v>388</v>
      </c>
      <c r="B506" s="5">
        <v>5.2845528455284556E-2</v>
      </c>
      <c r="C506" s="5">
        <v>0.3048780487804878</v>
      </c>
      <c r="D506" s="5">
        <v>0.48780487804878048</v>
      </c>
      <c r="E506" s="5">
        <v>0.15447154471544716</v>
      </c>
    </row>
    <row r="507" spans="1:5" x14ac:dyDescent="0.25">
      <c r="A507" s="5" t="s">
        <v>389</v>
      </c>
      <c r="B507" s="5">
        <v>0.2289156626506024</v>
      </c>
      <c r="C507" s="5">
        <v>0.47389558232931728</v>
      </c>
      <c r="D507" s="5">
        <v>0.20481927710843373</v>
      </c>
      <c r="E507" s="5">
        <v>9.2369477911646583E-2</v>
      </c>
    </row>
    <row r="508" spans="1:5" x14ac:dyDescent="0.25">
      <c r="A508" s="5" t="s">
        <v>390</v>
      </c>
      <c r="B508" s="5">
        <v>0.102880658436214</v>
      </c>
      <c r="C508" s="5">
        <v>0.3991769547325103</v>
      </c>
      <c r="D508" s="5">
        <v>0.42386831275720166</v>
      </c>
      <c r="E508" s="5">
        <v>4.9382716049382713E-2</v>
      </c>
    </row>
    <row r="509" spans="1:5" x14ac:dyDescent="0.25">
      <c r="A509" s="5" t="s">
        <v>391</v>
      </c>
      <c r="B509" s="5">
        <v>5.0847457627118647E-2</v>
      </c>
      <c r="C509" s="5">
        <v>0.42372881355932202</v>
      </c>
      <c r="D509" s="5">
        <v>0.4152542372881356</v>
      </c>
      <c r="E509" s="5">
        <v>0.11016949152542373</v>
      </c>
    </row>
    <row r="510" spans="1:5" x14ac:dyDescent="0.25">
      <c r="A510" s="5" t="s">
        <v>392</v>
      </c>
      <c r="B510" s="5">
        <v>0.36016949152542371</v>
      </c>
      <c r="C510" s="5">
        <v>0.49576271186440679</v>
      </c>
      <c r="D510" s="5">
        <v>0.1059322033898305</v>
      </c>
      <c r="E510" s="5">
        <v>3.8135593220338986E-2</v>
      </c>
    </row>
    <row r="511" spans="1:5" x14ac:dyDescent="0.25">
      <c r="A511" s="5" t="s">
        <v>393</v>
      </c>
      <c r="B511" s="5">
        <v>0.37344398340248963</v>
      </c>
      <c r="C511" s="5">
        <v>0.44813278008298757</v>
      </c>
      <c r="D511" s="5">
        <v>0.12448132780082988</v>
      </c>
      <c r="E511" s="5">
        <v>5.3941908713692949E-2</v>
      </c>
    </row>
    <row r="512" spans="1:5" x14ac:dyDescent="0.25">
      <c r="A512" s="5" t="s">
        <v>394</v>
      </c>
      <c r="B512" s="5">
        <v>0.36752136752136755</v>
      </c>
      <c r="C512" s="5">
        <v>0.50427350427350426</v>
      </c>
      <c r="D512" s="5">
        <v>9.8290598290598288E-2</v>
      </c>
      <c r="E512" s="5">
        <v>2.9914529914529916E-2</v>
      </c>
    </row>
    <row r="515" spans="1:5" x14ac:dyDescent="0.25">
      <c r="A515" s="32" t="s">
        <v>395</v>
      </c>
    </row>
    <row r="517" spans="1:5" x14ac:dyDescent="0.25">
      <c r="A517" s="5"/>
      <c r="B517" s="5" t="s">
        <v>412</v>
      </c>
      <c r="C517" s="5" t="s">
        <v>413</v>
      </c>
      <c r="D517" s="5" t="s">
        <v>414</v>
      </c>
      <c r="E517" s="5" t="s">
        <v>415</v>
      </c>
    </row>
    <row r="518" spans="1:5" x14ac:dyDescent="0.25">
      <c r="A518" s="5" t="s">
        <v>396</v>
      </c>
      <c r="B518" s="5">
        <v>0.21645021645021645</v>
      </c>
      <c r="C518" s="5">
        <v>0.54545454545454541</v>
      </c>
      <c r="D518" s="5">
        <v>0.19913419913419914</v>
      </c>
      <c r="E518" s="5">
        <v>3.896103896103896E-2</v>
      </c>
    </row>
    <row r="519" spans="1:5" x14ac:dyDescent="0.25">
      <c r="A519" s="5" t="s">
        <v>397</v>
      </c>
      <c r="B519" s="5">
        <v>0.21397379912663755</v>
      </c>
      <c r="C519" s="5">
        <v>0.43231441048034935</v>
      </c>
      <c r="D519" s="5">
        <v>0.27074235807860264</v>
      </c>
      <c r="E519" s="5">
        <v>8.296943231441048E-2</v>
      </c>
    </row>
    <row r="520" spans="1:5" x14ac:dyDescent="0.25">
      <c r="A520" s="5" t="s">
        <v>398</v>
      </c>
      <c r="B520" s="5">
        <v>0.18884120171673821</v>
      </c>
      <c r="C520" s="5">
        <v>0.50643776824034337</v>
      </c>
      <c r="D520" s="5">
        <v>0.26180257510729615</v>
      </c>
      <c r="E520" s="5">
        <v>4.2918454935622317E-2</v>
      </c>
    </row>
    <row r="521" spans="1:5" x14ac:dyDescent="0.25">
      <c r="A521" s="5" t="s">
        <v>399</v>
      </c>
      <c r="B521" s="5">
        <v>0.11555555555555555</v>
      </c>
      <c r="C521" s="5">
        <v>0.32444444444444442</v>
      </c>
      <c r="D521" s="5">
        <v>0.42222222222222222</v>
      </c>
      <c r="E521" s="5">
        <v>0.13777777777777778</v>
      </c>
    </row>
    <row r="522" spans="1:5" x14ac:dyDescent="0.25">
      <c r="A522" s="5" t="s">
        <v>400</v>
      </c>
      <c r="B522" s="5">
        <v>0.17316017316017315</v>
      </c>
      <c r="C522" s="5">
        <v>0.47619047619047616</v>
      </c>
      <c r="D522" s="5">
        <v>0.26839826839826841</v>
      </c>
      <c r="E522" s="5">
        <v>8.2251082251082255E-2</v>
      </c>
    </row>
    <row r="523" spans="1:5" x14ac:dyDescent="0.25">
      <c r="A523" s="5" t="s">
        <v>401</v>
      </c>
      <c r="B523" s="5">
        <v>0.10176991150442478</v>
      </c>
      <c r="C523" s="5">
        <v>0.19911504424778761</v>
      </c>
      <c r="D523" s="5">
        <v>0.35398230088495575</v>
      </c>
      <c r="E523" s="5">
        <v>0.34513274336283184</v>
      </c>
    </row>
    <row r="524" spans="1:5" x14ac:dyDescent="0.25">
      <c r="A524" s="5" t="s">
        <v>402</v>
      </c>
      <c r="B524" s="5">
        <v>0.16593886462882096</v>
      </c>
      <c r="C524" s="5">
        <v>0.41048034934497818</v>
      </c>
      <c r="D524" s="5">
        <v>0.37117903930131002</v>
      </c>
      <c r="E524" s="5">
        <v>5.2401746724890827E-2</v>
      </c>
    </row>
    <row r="525" spans="1:5" x14ac:dyDescent="0.25">
      <c r="A525" s="5" t="s">
        <v>403</v>
      </c>
      <c r="B525" s="5">
        <v>4.7826086956521741E-2</v>
      </c>
      <c r="C525" s="5">
        <v>0.1391304347826087</v>
      </c>
      <c r="D525" s="5">
        <v>0.36521739130434783</v>
      </c>
      <c r="E525" s="5">
        <v>0.44782608695652176</v>
      </c>
    </row>
    <row r="526" spans="1:5" x14ac:dyDescent="0.25">
      <c r="A526" s="5" t="s">
        <v>816</v>
      </c>
      <c r="B526" s="5">
        <v>0.13478260869565217</v>
      </c>
      <c r="C526" s="5">
        <v>0.36086956521739133</v>
      </c>
      <c r="D526" s="5">
        <v>0.36521739130434783</v>
      </c>
      <c r="E526" s="5">
        <v>0.1391304347826087</v>
      </c>
    </row>
    <row r="527" spans="1:5" x14ac:dyDescent="0.25">
      <c r="A527" s="5" t="s">
        <v>416</v>
      </c>
      <c r="B527" s="5">
        <v>0.17903930131004367</v>
      </c>
      <c r="C527" s="5">
        <v>0.36244541484716158</v>
      </c>
      <c r="D527" s="5">
        <v>0.34934497816593885</v>
      </c>
      <c r="E527" s="5">
        <v>0.1091703056768559</v>
      </c>
    </row>
    <row r="528" spans="1:5" x14ac:dyDescent="0.25">
      <c r="A528" s="5" t="s">
        <v>405</v>
      </c>
      <c r="B528" s="5">
        <v>0.18061674008810572</v>
      </c>
      <c r="C528" s="5">
        <v>0.40969162995594716</v>
      </c>
      <c r="D528" s="5">
        <v>0.29074889867841408</v>
      </c>
      <c r="E528" s="5">
        <v>0.11894273127753303</v>
      </c>
    </row>
    <row r="529" spans="1:6" x14ac:dyDescent="0.25">
      <c r="A529" s="5" t="s">
        <v>406</v>
      </c>
      <c r="B529" s="5">
        <v>0.28000000000000003</v>
      </c>
      <c r="C529" s="5">
        <v>0.45333333333333331</v>
      </c>
      <c r="D529" s="5">
        <v>0.21333333333333335</v>
      </c>
      <c r="E529" s="5">
        <v>5.3333333333333337E-2</v>
      </c>
    </row>
    <row r="530" spans="1:6" x14ac:dyDescent="0.25">
      <c r="A530" s="5" t="s">
        <v>817</v>
      </c>
      <c r="B530" s="5">
        <v>0.16299559471365638</v>
      </c>
      <c r="C530" s="5">
        <v>0.40088105726872247</v>
      </c>
      <c r="D530" s="5">
        <v>0.32158590308370044</v>
      </c>
      <c r="E530" s="5">
        <v>0.11453744493392071</v>
      </c>
    </row>
    <row r="531" spans="1:6" x14ac:dyDescent="0.25">
      <c r="A531" s="5" t="s">
        <v>408</v>
      </c>
      <c r="B531" s="5">
        <v>0.21238938053097345</v>
      </c>
      <c r="C531" s="5">
        <v>0.34955752212389379</v>
      </c>
      <c r="D531" s="5">
        <v>0.30530973451327431</v>
      </c>
      <c r="E531" s="5">
        <v>0.13274336283185842</v>
      </c>
    </row>
    <row r="532" spans="1:6" x14ac:dyDescent="0.25">
      <c r="A532" s="5" t="s">
        <v>409</v>
      </c>
      <c r="B532" s="5">
        <v>0.19913419913419914</v>
      </c>
      <c r="C532" s="5">
        <v>0.36796536796536794</v>
      </c>
      <c r="D532" s="5">
        <v>0.3593073593073593</v>
      </c>
      <c r="E532" s="5">
        <v>7.3593073593073599E-2</v>
      </c>
    </row>
    <row r="533" spans="1:6" x14ac:dyDescent="0.25">
      <c r="A533" s="5" t="s">
        <v>410</v>
      </c>
      <c r="B533" s="5">
        <v>0.2</v>
      </c>
      <c r="C533" s="5">
        <v>0.38260869565217392</v>
      </c>
      <c r="D533" s="5">
        <v>0.34782608695652173</v>
      </c>
      <c r="E533" s="5">
        <v>6.9565217391304349E-2</v>
      </c>
    </row>
    <row r="534" spans="1:6" x14ac:dyDescent="0.25">
      <c r="A534" s="5" t="s">
        <v>411</v>
      </c>
      <c r="B534" s="5">
        <v>0.35217391304347828</v>
      </c>
      <c r="C534" s="5">
        <v>0.4652173913043478</v>
      </c>
      <c r="D534" s="5">
        <v>0.16521739130434782</v>
      </c>
      <c r="E534" s="5">
        <v>1.7391304347826087E-2</v>
      </c>
    </row>
    <row r="537" spans="1:6" x14ac:dyDescent="0.25">
      <c r="A537" s="32" t="s">
        <v>417</v>
      </c>
    </row>
    <row r="539" spans="1:6" x14ac:dyDescent="0.25">
      <c r="A539" s="5"/>
      <c r="B539" s="5" t="s">
        <v>178</v>
      </c>
      <c r="C539" s="5" t="s">
        <v>179</v>
      </c>
      <c r="D539" s="5" t="s">
        <v>180</v>
      </c>
      <c r="E539" s="5" t="s">
        <v>181</v>
      </c>
      <c r="F539" s="5" t="s">
        <v>182</v>
      </c>
    </row>
    <row r="540" spans="1:6" x14ac:dyDescent="0.25">
      <c r="A540" s="5" t="s">
        <v>418</v>
      </c>
      <c r="B540" s="5">
        <v>0.2813852813852814</v>
      </c>
      <c r="C540" s="5">
        <v>0.39393939393939392</v>
      </c>
      <c r="D540" s="5">
        <v>0.25108225108225107</v>
      </c>
      <c r="E540" s="5">
        <v>4.3290043290043288E-2</v>
      </c>
      <c r="F540" s="5">
        <v>3.0303030303030304E-2</v>
      </c>
    </row>
    <row r="541" spans="1:6" x14ac:dyDescent="0.25">
      <c r="A541" s="5" t="s">
        <v>818</v>
      </c>
      <c r="B541" s="5">
        <v>0.3930131004366812</v>
      </c>
      <c r="C541" s="5">
        <v>0.4366812227074236</v>
      </c>
      <c r="D541" s="5">
        <v>0.13973799126637554</v>
      </c>
      <c r="E541" s="5">
        <v>2.6200873362445413E-2</v>
      </c>
      <c r="F541" s="5">
        <v>4.3668122270742356E-3</v>
      </c>
    </row>
    <row r="542" spans="1:6" x14ac:dyDescent="0.25">
      <c r="A542" s="5" t="s">
        <v>420</v>
      </c>
      <c r="B542" s="5">
        <v>0.13392857142857142</v>
      </c>
      <c r="C542" s="5">
        <v>0.19642857142857142</v>
      </c>
      <c r="D542" s="5">
        <v>0.26785714285714285</v>
      </c>
      <c r="E542" s="5">
        <v>0.14285714285714285</v>
      </c>
      <c r="F542" s="5">
        <v>0.25892857142857145</v>
      </c>
    </row>
    <row r="543" spans="1:6" x14ac:dyDescent="0.25">
      <c r="A543" s="5" t="s">
        <v>421</v>
      </c>
      <c r="B543" s="5">
        <v>0.23348017621145375</v>
      </c>
      <c r="C543" s="5">
        <v>0.28193832599118945</v>
      </c>
      <c r="D543" s="5">
        <v>0.25110132158590309</v>
      </c>
      <c r="E543" s="5">
        <v>0.11894273127753303</v>
      </c>
      <c r="F543" s="5">
        <v>0.11453744493392071</v>
      </c>
    </row>
    <row r="544" spans="1:6" x14ac:dyDescent="0.25">
      <c r="A544" s="5" t="s">
        <v>422</v>
      </c>
      <c r="B544" s="5">
        <v>0.20179372197309417</v>
      </c>
      <c r="C544" s="5">
        <v>0.26008968609865468</v>
      </c>
      <c r="D544" s="5">
        <v>0.18834080717488788</v>
      </c>
      <c r="E544" s="5">
        <v>0.12556053811659193</v>
      </c>
      <c r="F544" s="5">
        <v>0.22421524663677131</v>
      </c>
    </row>
    <row r="545" spans="1:6" x14ac:dyDescent="0.25">
      <c r="A545" s="5" t="s">
        <v>423</v>
      </c>
      <c r="B545" s="5">
        <v>0.23451327433628319</v>
      </c>
      <c r="C545" s="5">
        <v>0.22566371681415928</v>
      </c>
      <c r="D545" s="5">
        <v>0.28761061946902655</v>
      </c>
      <c r="E545" s="5">
        <v>0.1415929203539823</v>
      </c>
      <c r="F545" s="5">
        <v>0.11061946902654868</v>
      </c>
    </row>
    <row r="546" spans="1:6" x14ac:dyDescent="0.25">
      <c r="A546" s="5" t="s">
        <v>424</v>
      </c>
      <c r="B546" s="5">
        <v>7.5555555555555556E-2</v>
      </c>
      <c r="C546" s="5">
        <v>9.7777777777777783E-2</v>
      </c>
      <c r="D546" s="5">
        <v>0.16</v>
      </c>
      <c r="E546" s="5">
        <v>0.18666666666666668</v>
      </c>
      <c r="F546" s="5">
        <v>0.48</v>
      </c>
    </row>
    <row r="547" spans="1:6" x14ac:dyDescent="0.25">
      <c r="A547" s="5" t="s">
        <v>425</v>
      </c>
      <c r="B547" s="5">
        <v>8.8105726872246704E-3</v>
      </c>
      <c r="C547" s="5">
        <v>2.643171806167401E-2</v>
      </c>
      <c r="D547" s="5">
        <v>3.0837004405286344E-2</v>
      </c>
      <c r="E547" s="5">
        <v>2.2026431718061675E-2</v>
      </c>
      <c r="F547" s="5">
        <v>0.91189427312775329</v>
      </c>
    </row>
    <row r="550" spans="1:6" x14ac:dyDescent="0.25">
      <c r="A550" s="17" t="s">
        <v>819</v>
      </c>
    </row>
    <row r="551" spans="1:6" x14ac:dyDescent="0.25">
      <c r="A551" s="17"/>
    </row>
    <row r="552" spans="1:6" x14ac:dyDescent="0.25">
      <c r="A552" s="58"/>
      <c r="B552" s="58" t="s">
        <v>10</v>
      </c>
      <c r="C552" s="58" t="s">
        <v>78</v>
      </c>
    </row>
    <row r="553" spans="1:6" x14ac:dyDescent="0.25">
      <c r="A553" s="58" t="s">
        <v>242</v>
      </c>
      <c r="B553" s="58">
        <v>47</v>
      </c>
      <c r="C553" s="5">
        <v>0.3032258064516129</v>
      </c>
    </row>
    <row r="554" spans="1:6" x14ac:dyDescent="0.25">
      <c r="A554" s="58" t="s">
        <v>243</v>
      </c>
      <c r="B554" s="58">
        <v>81</v>
      </c>
      <c r="C554" s="5">
        <v>0.52258064516129032</v>
      </c>
    </row>
    <row r="555" spans="1:6" x14ac:dyDescent="0.25">
      <c r="A555" s="58" t="s">
        <v>244</v>
      </c>
      <c r="B555" s="58">
        <v>21</v>
      </c>
      <c r="C555" s="5">
        <v>0.13548387096774195</v>
      </c>
    </row>
    <row r="556" spans="1:6" x14ac:dyDescent="0.25">
      <c r="A556" s="58" t="s">
        <v>245</v>
      </c>
      <c r="B556" s="58">
        <v>6</v>
      </c>
      <c r="C556" s="5">
        <v>3.870967741935484E-2</v>
      </c>
    </row>
    <row r="557" spans="1:6" x14ac:dyDescent="0.25">
      <c r="A557" s="58" t="s">
        <v>53</v>
      </c>
      <c r="B557" s="58">
        <v>155</v>
      </c>
      <c r="C557" s="5">
        <v>1</v>
      </c>
    </row>
    <row r="560" spans="1:6" x14ac:dyDescent="0.25">
      <c r="A560" s="17" t="s">
        <v>427</v>
      </c>
    </row>
    <row r="562" spans="1:3" x14ac:dyDescent="0.25">
      <c r="A562" s="58"/>
      <c r="B562" s="58" t="s">
        <v>10</v>
      </c>
      <c r="C562" s="58" t="s">
        <v>78</v>
      </c>
    </row>
    <row r="563" spans="1:3" x14ac:dyDescent="0.25">
      <c r="A563" s="58" t="s">
        <v>242</v>
      </c>
      <c r="B563" s="58">
        <v>67</v>
      </c>
      <c r="C563" s="5">
        <v>0.43225806451612903</v>
      </c>
    </row>
    <row r="564" spans="1:3" x14ac:dyDescent="0.25">
      <c r="A564" s="58" t="s">
        <v>243</v>
      </c>
      <c r="B564" s="58">
        <v>95</v>
      </c>
      <c r="C564" s="5">
        <v>0.61290322580645162</v>
      </c>
    </row>
    <row r="565" spans="1:3" x14ac:dyDescent="0.25">
      <c r="A565" s="58" t="s">
        <v>244</v>
      </c>
      <c r="B565" s="58">
        <v>21</v>
      </c>
      <c r="C565" s="5">
        <v>0.13548387096774195</v>
      </c>
    </row>
    <row r="566" spans="1:3" x14ac:dyDescent="0.25">
      <c r="A566" s="58" t="s">
        <v>245</v>
      </c>
      <c r="B566" s="58">
        <v>5</v>
      </c>
      <c r="C566" s="5">
        <v>3.2258064516129031E-2</v>
      </c>
    </row>
    <row r="567" spans="1:3" x14ac:dyDescent="0.25">
      <c r="A567" s="58" t="s">
        <v>53</v>
      </c>
      <c r="B567" s="58">
        <v>155</v>
      </c>
      <c r="C567" s="5">
        <v>1</v>
      </c>
    </row>
    <row r="570" spans="1:3" x14ac:dyDescent="0.25">
      <c r="A570" s="17" t="s">
        <v>428</v>
      </c>
    </row>
    <row r="572" spans="1:3" x14ac:dyDescent="0.25">
      <c r="A572" s="58"/>
      <c r="B572" s="58" t="s">
        <v>10</v>
      </c>
      <c r="C572" s="58" t="s">
        <v>78</v>
      </c>
    </row>
    <row r="573" spans="1:3" x14ac:dyDescent="0.25">
      <c r="A573" s="58" t="s">
        <v>242</v>
      </c>
      <c r="B573" s="58">
        <v>67</v>
      </c>
      <c r="C573" s="5">
        <v>0.41358024691358025</v>
      </c>
    </row>
    <row r="574" spans="1:3" x14ac:dyDescent="0.25">
      <c r="A574" s="58" t="s">
        <v>243</v>
      </c>
      <c r="B574" s="58">
        <v>76</v>
      </c>
      <c r="C574" s="5">
        <v>0.46913580246913578</v>
      </c>
    </row>
    <row r="575" spans="1:3" x14ac:dyDescent="0.25">
      <c r="A575" s="58" t="s">
        <v>244</v>
      </c>
      <c r="B575" s="58">
        <v>17</v>
      </c>
      <c r="C575" s="5">
        <v>0.10493827160493827</v>
      </c>
    </row>
    <row r="576" spans="1:3" x14ac:dyDescent="0.25">
      <c r="A576" s="58" t="s">
        <v>245</v>
      </c>
      <c r="B576" s="58">
        <v>2</v>
      </c>
      <c r="C576" s="5">
        <v>1.2345679012345678E-2</v>
      </c>
    </row>
    <row r="577" spans="1:5" x14ac:dyDescent="0.25">
      <c r="A577" s="58" t="s">
        <v>53</v>
      </c>
      <c r="B577" s="58">
        <v>162</v>
      </c>
      <c r="C577" s="5">
        <v>1</v>
      </c>
    </row>
    <row r="580" spans="1:5" x14ac:dyDescent="0.25">
      <c r="A580" s="17" t="s">
        <v>449</v>
      </c>
    </row>
    <row r="582" spans="1:5" x14ac:dyDescent="0.25">
      <c r="A582" s="5"/>
      <c r="B582" s="5" t="s">
        <v>738</v>
      </c>
      <c r="C582" s="5" t="s">
        <v>446</v>
      </c>
      <c r="D582" s="5" t="s">
        <v>650</v>
      </c>
      <c r="E582" s="5" t="s">
        <v>448</v>
      </c>
    </row>
    <row r="583" spans="1:5" x14ac:dyDescent="0.25">
      <c r="A583" s="5" t="s">
        <v>430</v>
      </c>
      <c r="B583" s="5">
        <v>9.1304347826086957E-2</v>
      </c>
      <c r="C583" s="5">
        <v>0.36956521739130432</v>
      </c>
      <c r="D583" s="5">
        <v>0.29565217391304349</v>
      </c>
      <c r="E583" s="5">
        <v>0.24347826086956523</v>
      </c>
    </row>
    <row r="584" spans="1:5" x14ac:dyDescent="0.25">
      <c r="A584" s="5" t="s">
        <v>431</v>
      </c>
      <c r="B584" s="5">
        <v>0.18981481481481483</v>
      </c>
      <c r="C584" s="5">
        <v>0.44907407407407407</v>
      </c>
      <c r="D584" s="5">
        <v>0.14351851851851852</v>
      </c>
      <c r="E584" s="5">
        <v>0.21759259259259259</v>
      </c>
    </row>
    <row r="585" spans="1:5" x14ac:dyDescent="0.25">
      <c r="A585" s="5" t="s">
        <v>432</v>
      </c>
      <c r="B585" s="5">
        <v>0.19534883720930232</v>
      </c>
      <c r="C585" s="5">
        <v>0.4325581395348837</v>
      </c>
      <c r="D585" s="5">
        <v>0.13953488372093023</v>
      </c>
      <c r="E585" s="5">
        <v>0.23255813953488372</v>
      </c>
    </row>
    <row r="586" spans="1:5" x14ac:dyDescent="0.25">
      <c r="A586" s="5" t="s">
        <v>433</v>
      </c>
      <c r="B586" s="5">
        <v>0.12385321100917432</v>
      </c>
      <c r="C586" s="5">
        <v>0.43119266055045874</v>
      </c>
      <c r="D586" s="5">
        <v>0.22935779816513763</v>
      </c>
      <c r="E586" s="5">
        <v>0.21559633027522937</v>
      </c>
    </row>
    <row r="587" spans="1:5" x14ac:dyDescent="0.25">
      <c r="A587" s="5" t="s">
        <v>434</v>
      </c>
      <c r="B587" s="5">
        <v>0.17826086956521739</v>
      </c>
      <c r="C587" s="5">
        <v>0.55217391304347829</v>
      </c>
      <c r="D587" s="5">
        <v>0.16956521739130434</v>
      </c>
      <c r="E587" s="5">
        <v>0.1</v>
      </c>
    </row>
    <row r="588" spans="1:5" x14ac:dyDescent="0.25">
      <c r="A588" s="5" t="s">
        <v>435</v>
      </c>
      <c r="B588" s="5">
        <v>0.11790393013100436</v>
      </c>
      <c r="C588" s="5">
        <v>0.55458515283842791</v>
      </c>
      <c r="D588" s="5">
        <v>0.26637554585152839</v>
      </c>
      <c r="E588" s="5">
        <v>6.1135371179039298E-2</v>
      </c>
    </row>
    <row r="589" spans="1:5" x14ac:dyDescent="0.25">
      <c r="A589" s="5" t="s">
        <v>436</v>
      </c>
      <c r="B589" s="5">
        <v>0.49781659388646288</v>
      </c>
      <c r="C589" s="5">
        <v>7.8602620087336247E-2</v>
      </c>
      <c r="D589" s="5">
        <v>0.38427947598253276</v>
      </c>
      <c r="E589" s="5">
        <v>3.9301310043668124E-2</v>
      </c>
    </row>
    <row r="590" spans="1:5" x14ac:dyDescent="0.25">
      <c r="A590" s="5" t="s">
        <v>437</v>
      </c>
      <c r="B590" s="5">
        <v>0.37991266375545851</v>
      </c>
      <c r="C590" s="5">
        <v>0.36244541484716158</v>
      </c>
      <c r="D590" s="5">
        <v>0.11790393013100436</v>
      </c>
      <c r="E590" s="5">
        <v>0.13973799126637554</v>
      </c>
    </row>
    <row r="591" spans="1:5" x14ac:dyDescent="0.25">
      <c r="A591" s="5" t="s">
        <v>438</v>
      </c>
      <c r="B591" s="5">
        <v>0.27192982456140352</v>
      </c>
      <c r="C591" s="5">
        <v>0.43859649122807015</v>
      </c>
      <c r="D591" s="5">
        <v>0.19736842105263158</v>
      </c>
      <c r="E591" s="5">
        <v>9.2105263157894732E-2</v>
      </c>
    </row>
    <row r="592" spans="1:5" x14ac:dyDescent="0.25">
      <c r="A592" s="5" t="s">
        <v>439</v>
      </c>
      <c r="B592" s="5">
        <v>0.17857142857142858</v>
      </c>
      <c r="C592" s="5">
        <v>0.48214285714285715</v>
      </c>
      <c r="D592" s="5">
        <v>0.24107142857142858</v>
      </c>
      <c r="E592" s="5">
        <v>9.8214285714285712E-2</v>
      </c>
    </row>
    <row r="593" spans="1:5" x14ac:dyDescent="0.25">
      <c r="A593" s="5" t="s">
        <v>440</v>
      </c>
      <c r="B593" s="5">
        <v>9.8654708520179366E-2</v>
      </c>
      <c r="C593" s="5">
        <v>0.44843049327354262</v>
      </c>
      <c r="D593" s="5">
        <v>0.22869955156950672</v>
      </c>
      <c r="E593" s="5">
        <v>0.22421524663677131</v>
      </c>
    </row>
    <row r="594" spans="1:5" x14ac:dyDescent="0.25">
      <c r="A594" s="5" t="s">
        <v>441</v>
      </c>
      <c r="B594" s="5">
        <v>5.4298642533936653E-2</v>
      </c>
      <c r="C594" s="5">
        <v>0.36651583710407237</v>
      </c>
      <c r="D594" s="5">
        <v>0.22624434389140272</v>
      </c>
      <c r="E594" s="5">
        <v>0.35294117647058826</v>
      </c>
    </row>
    <row r="595" spans="1:5" x14ac:dyDescent="0.25">
      <c r="A595" s="5" t="s">
        <v>442</v>
      </c>
      <c r="B595" s="5">
        <v>0.39473684210526316</v>
      </c>
      <c r="C595" s="5">
        <v>0.47368421052631576</v>
      </c>
      <c r="D595" s="5">
        <v>8.771929824561403E-2</v>
      </c>
      <c r="E595" s="5">
        <v>4.3859649122807015E-2</v>
      </c>
    </row>
    <row r="596" spans="1:5" x14ac:dyDescent="0.25">
      <c r="A596" s="5" t="s">
        <v>443</v>
      </c>
      <c r="B596" s="5">
        <v>0.22477064220183487</v>
      </c>
      <c r="C596" s="5">
        <v>0.48623853211009177</v>
      </c>
      <c r="D596" s="5">
        <v>0.16972477064220184</v>
      </c>
      <c r="E596" s="5">
        <v>0.11926605504587157</v>
      </c>
    </row>
    <row r="597" spans="1:5" x14ac:dyDescent="0.25">
      <c r="A597" s="5" t="s">
        <v>444</v>
      </c>
      <c r="B597" s="5">
        <v>0.27433628318584069</v>
      </c>
      <c r="C597" s="5">
        <v>0.53097345132743368</v>
      </c>
      <c r="D597" s="5">
        <v>0.16814159292035399</v>
      </c>
      <c r="E597" s="5">
        <v>2.6548672566371681E-2</v>
      </c>
    </row>
    <row r="600" spans="1:5" x14ac:dyDescent="0.25">
      <c r="A600" s="32" t="s">
        <v>469</v>
      </c>
    </row>
    <row r="601" spans="1:5" x14ac:dyDescent="0.25">
      <c r="A601" s="33"/>
    </row>
    <row r="602" spans="1:5" x14ac:dyDescent="0.25">
      <c r="A602" s="5"/>
      <c r="B602" s="5" t="s">
        <v>466</v>
      </c>
      <c r="C602" s="5" t="s">
        <v>467</v>
      </c>
      <c r="D602" s="5" t="s">
        <v>182</v>
      </c>
      <c r="E602" s="5" t="s">
        <v>468</v>
      </c>
    </row>
    <row r="603" spans="1:5" x14ac:dyDescent="0.25">
      <c r="A603" s="5" t="s">
        <v>451</v>
      </c>
      <c r="B603" s="5">
        <v>0.18303571428571427</v>
      </c>
      <c r="C603" s="5">
        <v>0.5714285714285714</v>
      </c>
      <c r="D603" s="5">
        <v>0.22321428571428573</v>
      </c>
      <c r="E603" s="5">
        <v>2.2321428571428572E-2</v>
      </c>
    </row>
    <row r="604" spans="1:5" x14ac:dyDescent="0.25">
      <c r="A604" s="5" t="s">
        <v>452</v>
      </c>
      <c r="B604" s="5">
        <v>0.10222222222222223</v>
      </c>
      <c r="C604" s="5">
        <v>0.23555555555555555</v>
      </c>
      <c r="D604" s="5">
        <v>0.21333333333333335</v>
      </c>
      <c r="E604" s="5">
        <v>0.44888888888888889</v>
      </c>
    </row>
    <row r="605" spans="1:5" x14ac:dyDescent="0.25">
      <c r="A605" s="5" t="s">
        <v>453</v>
      </c>
      <c r="B605" s="5">
        <v>8.5585585585585586E-2</v>
      </c>
      <c r="C605" s="5">
        <v>0.46396396396396394</v>
      </c>
      <c r="D605" s="5">
        <v>0.40990990990990989</v>
      </c>
      <c r="E605" s="5">
        <v>4.0540540540540543E-2</v>
      </c>
    </row>
    <row r="606" spans="1:5" x14ac:dyDescent="0.25">
      <c r="A606" s="5" t="s">
        <v>454</v>
      </c>
      <c r="B606" s="5">
        <v>0.11711711711711711</v>
      </c>
      <c r="C606" s="5">
        <v>0.31531531531531531</v>
      </c>
      <c r="D606" s="5">
        <v>0.34234234234234234</v>
      </c>
      <c r="E606" s="5">
        <v>0.22522522522522523</v>
      </c>
    </row>
    <row r="607" spans="1:5" x14ac:dyDescent="0.25">
      <c r="A607" s="5" t="s">
        <v>455</v>
      </c>
      <c r="B607" s="5">
        <v>3.1531531531531529E-2</v>
      </c>
      <c r="C607" s="5">
        <v>0.21171171171171171</v>
      </c>
      <c r="D607" s="5">
        <v>0.59459459459459463</v>
      </c>
      <c r="E607" s="5">
        <v>0.16216216216216217</v>
      </c>
    </row>
    <row r="608" spans="1:5" x14ac:dyDescent="0.25">
      <c r="A608" s="5" t="s">
        <v>456</v>
      </c>
      <c r="B608" s="5">
        <v>7.5892857142857137E-2</v>
      </c>
      <c r="C608" s="5">
        <v>0.38392857142857145</v>
      </c>
      <c r="D608" s="5">
        <v>0.38839285714285715</v>
      </c>
      <c r="E608" s="5">
        <v>0.15178571428571427</v>
      </c>
    </row>
    <row r="609" spans="1:5" x14ac:dyDescent="0.25">
      <c r="A609" s="5" t="s">
        <v>457</v>
      </c>
      <c r="B609" s="5">
        <v>8.4444444444444447E-2</v>
      </c>
      <c r="C609" s="5">
        <v>0.36444444444444446</v>
      </c>
      <c r="D609" s="5">
        <v>0.4177777777777778</v>
      </c>
      <c r="E609" s="5">
        <v>0.13333333333333333</v>
      </c>
    </row>
    <row r="610" spans="1:5" x14ac:dyDescent="0.25">
      <c r="A610" s="5" t="s">
        <v>458</v>
      </c>
      <c r="B610" s="5">
        <v>6.222222222222222E-2</v>
      </c>
      <c r="C610" s="5">
        <v>0.52444444444444449</v>
      </c>
      <c r="D610" s="5">
        <v>0.38666666666666666</v>
      </c>
      <c r="E610" s="5">
        <v>2.6666666666666668E-2</v>
      </c>
    </row>
    <row r="611" spans="1:5" x14ac:dyDescent="0.25">
      <c r="A611" s="5" t="s">
        <v>459</v>
      </c>
      <c r="B611" s="5">
        <v>0.15178571428571427</v>
      </c>
      <c r="C611" s="5">
        <v>0.375</v>
      </c>
      <c r="D611" s="5">
        <v>0.29464285714285715</v>
      </c>
      <c r="E611" s="5">
        <v>0.17857142857142858</v>
      </c>
    </row>
    <row r="612" spans="1:5" x14ac:dyDescent="0.25">
      <c r="A612" s="5" t="s">
        <v>460</v>
      </c>
      <c r="B612" s="5">
        <v>0.19196428571428573</v>
      </c>
      <c r="C612" s="5">
        <v>0.42857142857142855</v>
      </c>
      <c r="D612" s="5">
        <v>0.29910714285714285</v>
      </c>
      <c r="E612" s="5">
        <v>8.0357142857142863E-2</v>
      </c>
    </row>
    <row r="613" spans="1:5" x14ac:dyDescent="0.25">
      <c r="A613" s="5" t="s">
        <v>434</v>
      </c>
      <c r="B613" s="5">
        <v>0.11504424778761062</v>
      </c>
      <c r="C613" s="5">
        <v>0.34070796460176989</v>
      </c>
      <c r="D613" s="5">
        <v>0.50884955752212391</v>
      </c>
      <c r="E613" s="5">
        <v>3.5398230088495575E-2</v>
      </c>
    </row>
    <row r="614" spans="1:5" x14ac:dyDescent="0.25">
      <c r="A614" s="5" t="s">
        <v>461</v>
      </c>
      <c r="B614" s="5">
        <v>0.20704845814977973</v>
      </c>
      <c r="C614" s="5">
        <v>0.3964757709251101</v>
      </c>
      <c r="D614" s="5">
        <v>0.37004405286343611</v>
      </c>
      <c r="E614" s="5">
        <v>2.643171806167401E-2</v>
      </c>
    </row>
    <row r="615" spans="1:5" x14ac:dyDescent="0.25">
      <c r="A615" s="5" t="s">
        <v>462</v>
      </c>
      <c r="B615" s="5">
        <v>0.1111111111111111</v>
      </c>
      <c r="C615" s="5">
        <v>0.24444444444444444</v>
      </c>
      <c r="D615" s="5">
        <v>0.57777777777777772</v>
      </c>
      <c r="E615" s="5">
        <v>6.6666666666666666E-2</v>
      </c>
    </row>
    <row r="616" spans="1:5" x14ac:dyDescent="0.25">
      <c r="A616" s="5" t="s">
        <v>463</v>
      </c>
      <c r="B616" s="5">
        <v>0.30837004405286345</v>
      </c>
      <c r="C616" s="5">
        <v>0.51541850220264318</v>
      </c>
      <c r="D616" s="5">
        <v>0.16299559471365638</v>
      </c>
      <c r="E616" s="5">
        <v>1.3215859030837005E-2</v>
      </c>
    </row>
    <row r="617" spans="1:5" x14ac:dyDescent="0.25">
      <c r="A617" s="5" t="s">
        <v>820</v>
      </c>
      <c r="B617" s="5">
        <v>0.17410714285714285</v>
      </c>
      <c r="C617" s="5">
        <v>0.4419642857142857</v>
      </c>
      <c r="D617" s="5">
        <v>0.3392857142857143</v>
      </c>
      <c r="E617" s="5">
        <v>4.4642857142857144E-2</v>
      </c>
    </row>
    <row r="618" spans="1:5" x14ac:dyDescent="0.25">
      <c r="A618" s="5" t="s">
        <v>465</v>
      </c>
      <c r="B618" s="5">
        <v>0.12669683257918551</v>
      </c>
      <c r="C618" s="5">
        <v>0.39819004524886875</v>
      </c>
      <c r="D618" s="5">
        <v>0.39366515837104071</v>
      </c>
      <c r="E618" s="5">
        <v>8.1447963800904979E-2</v>
      </c>
    </row>
    <row r="621" spans="1:5" x14ac:dyDescent="0.25">
      <c r="A621" s="34" t="s">
        <v>470</v>
      </c>
    </row>
    <row r="622" spans="1:5" x14ac:dyDescent="0.25">
      <c r="A622" s="58"/>
      <c r="B622" s="58" t="s">
        <v>10</v>
      </c>
      <c r="C622" s="58" t="s">
        <v>78</v>
      </c>
    </row>
    <row r="623" spans="1:5" x14ac:dyDescent="0.25">
      <c r="A623" s="58" t="s">
        <v>81</v>
      </c>
      <c r="B623" s="58">
        <v>13</v>
      </c>
      <c r="C623" s="5">
        <f>B623/230</f>
        <v>5.6521739130434782E-2</v>
      </c>
    </row>
    <row r="624" spans="1:5" x14ac:dyDescent="0.25">
      <c r="A624" s="58" t="s">
        <v>80</v>
      </c>
      <c r="B624" s="58">
        <v>217</v>
      </c>
      <c r="C624" s="5">
        <f t="shared" ref="C624:C625" si="8">B624/230</f>
        <v>0.94347826086956521</v>
      </c>
    </row>
    <row r="625" spans="1:3" x14ac:dyDescent="0.25">
      <c r="A625" s="58" t="s">
        <v>53</v>
      </c>
      <c r="B625" s="58">
        <f>SUM(B623:B624)</f>
        <v>230</v>
      </c>
      <c r="C625" s="5">
        <f t="shared" si="8"/>
        <v>1</v>
      </c>
    </row>
    <row r="628" spans="1:3" x14ac:dyDescent="0.25">
      <c r="A628" s="17" t="s">
        <v>471</v>
      </c>
    </row>
    <row r="630" spans="1:3" x14ac:dyDescent="0.25">
      <c r="A630" s="5"/>
      <c r="B630" s="5" t="s">
        <v>81</v>
      </c>
      <c r="C630" s="5" t="s">
        <v>80</v>
      </c>
    </row>
    <row r="631" spans="1:3" x14ac:dyDescent="0.25">
      <c r="A631" s="5" t="s">
        <v>472</v>
      </c>
      <c r="B631" s="5">
        <v>0.29955947136563876</v>
      </c>
      <c r="C631" s="5">
        <v>0.70044052863436124</v>
      </c>
    </row>
    <row r="632" spans="1:3" x14ac:dyDescent="0.25">
      <c r="A632" s="5" t="s">
        <v>473</v>
      </c>
      <c r="B632" s="5">
        <v>0.36888888888888888</v>
      </c>
      <c r="C632" s="5">
        <v>0.63111111111111107</v>
      </c>
    </row>
    <row r="633" spans="1:3" x14ac:dyDescent="0.25">
      <c r="A633" s="5" t="s">
        <v>474</v>
      </c>
      <c r="B633" s="5">
        <v>0.61061946902654862</v>
      </c>
      <c r="C633" s="5">
        <v>0.38938053097345132</v>
      </c>
    </row>
    <row r="634" spans="1:3" x14ac:dyDescent="0.25">
      <c r="A634" s="5" t="s">
        <v>475</v>
      </c>
      <c r="B634" s="5">
        <v>0.15555555555555556</v>
      </c>
      <c r="C634" s="5">
        <v>0.84444444444444444</v>
      </c>
    </row>
    <row r="635" spans="1:3" x14ac:dyDescent="0.25">
      <c r="A635" s="5" t="s">
        <v>476</v>
      </c>
      <c r="B635" s="5">
        <v>5.3097345132743362E-2</v>
      </c>
      <c r="C635" s="5">
        <v>0.94690265486725667</v>
      </c>
    </row>
    <row r="638" spans="1:3" x14ac:dyDescent="0.25">
      <c r="A638" s="32" t="s">
        <v>477</v>
      </c>
    </row>
    <row r="639" spans="1:3" x14ac:dyDescent="0.25">
      <c r="A639" s="5"/>
      <c r="B639" s="5" t="s">
        <v>81</v>
      </c>
      <c r="C639" s="5" t="s">
        <v>80</v>
      </c>
    </row>
    <row r="640" spans="1:3" x14ac:dyDescent="0.25">
      <c r="A640" s="5" t="s">
        <v>478</v>
      </c>
      <c r="B640" s="5">
        <v>0.34222222222222221</v>
      </c>
      <c r="C640" s="5">
        <v>0.65777777777777779</v>
      </c>
    </row>
    <row r="641" spans="1:3" x14ac:dyDescent="0.25">
      <c r="A641" s="5" t="s">
        <v>479</v>
      </c>
      <c r="B641" s="5">
        <v>0.1277533039647577</v>
      </c>
      <c r="C641" s="5">
        <v>0.8722466960352423</v>
      </c>
    </row>
    <row r="642" spans="1:3" x14ac:dyDescent="0.25">
      <c r="A642" s="5" t="s">
        <v>480</v>
      </c>
      <c r="B642" s="5">
        <v>9.2511013215859028E-2</v>
      </c>
      <c r="C642" s="5">
        <v>0.90748898678414092</v>
      </c>
    </row>
    <row r="643" spans="1:3" x14ac:dyDescent="0.25">
      <c r="A643" s="5" t="s">
        <v>481</v>
      </c>
      <c r="B643" s="5">
        <v>0.32158590308370044</v>
      </c>
      <c r="C643" s="5">
        <v>0.67841409691629961</v>
      </c>
    </row>
    <row r="646" spans="1:3" x14ac:dyDescent="0.25">
      <c r="A646" s="3" t="s">
        <v>482</v>
      </c>
    </row>
    <row r="647" spans="1:3" x14ac:dyDescent="0.25">
      <c r="A647" s="58"/>
      <c r="B647" s="58" t="s">
        <v>10</v>
      </c>
      <c r="C647" s="58" t="s">
        <v>78</v>
      </c>
    </row>
    <row r="648" spans="1:3" x14ac:dyDescent="0.25">
      <c r="A648" s="58" t="s">
        <v>483</v>
      </c>
      <c r="B648" s="58">
        <v>220</v>
      </c>
      <c r="C648" s="5">
        <v>0.9606986899563319</v>
      </c>
    </row>
    <row r="649" spans="1:3" x14ac:dyDescent="0.25">
      <c r="A649" s="58" t="s">
        <v>484</v>
      </c>
      <c r="B649" s="58">
        <v>8</v>
      </c>
      <c r="C649" s="5">
        <v>3.4934497816593885E-2</v>
      </c>
    </row>
    <row r="650" spans="1:3" x14ac:dyDescent="0.25">
      <c r="A650" s="58" t="s">
        <v>485</v>
      </c>
      <c r="B650" s="58">
        <v>1</v>
      </c>
      <c r="C650" s="5">
        <v>4.3668122270742356E-3</v>
      </c>
    </row>
    <row r="651" spans="1:3" x14ac:dyDescent="0.25">
      <c r="A651" s="58" t="s">
        <v>53</v>
      </c>
      <c r="B651" s="58">
        <v>229</v>
      </c>
      <c r="C651" s="5">
        <v>1</v>
      </c>
    </row>
    <row r="654" spans="1:3" x14ac:dyDescent="0.25">
      <c r="A654" s="3" t="s">
        <v>486</v>
      </c>
    </row>
    <row r="655" spans="1:3" x14ac:dyDescent="0.25">
      <c r="B655" s="58" t="s">
        <v>10</v>
      </c>
      <c r="C655" s="58" t="s">
        <v>78</v>
      </c>
    </row>
    <row r="656" spans="1:3" x14ac:dyDescent="0.25">
      <c r="A656" s="58" t="s">
        <v>487</v>
      </c>
      <c r="B656" s="58">
        <v>18</v>
      </c>
      <c r="C656" s="5">
        <f>B656/$B$661</f>
        <v>7.9646017699115043E-2</v>
      </c>
    </row>
    <row r="657" spans="1:6" x14ac:dyDescent="0.25">
      <c r="A657" s="58" t="s">
        <v>488</v>
      </c>
      <c r="B657" s="58">
        <v>99</v>
      </c>
      <c r="C657" s="5">
        <f t="shared" ref="C657:C661" si="9">B657/$B$661</f>
        <v>0.43805309734513276</v>
      </c>
    </row>
    <row r="658" spans="1:6" x14ac:dyDescent="0.25">
      <c r="A658" s="58" t="s">
        <v>489</v>
      </c>
      <c r="B658" s="58">
        <v>75</v>
      </c>
      <c r="C658" s="5">
        <f t="shared" si="9"/>
        <v>0.33185840707964603</v>
      </c>
    </row>
    <row r="659" spans="1:6" x14ac:dyDescent="0.25">
      <c r="A659" s="58" t="s">
        <v>490</v>
      </c>
      <c r="B659" s="58">
        <v>32</v>
      </c>
      <c r="C659" s="5">
        <f t="shared" si="9"/>
        <v>0.1415929203539823</v>
      </c>
    </row>
    <row r="660" spans="1:6" x14ac:dyDescent="0.25">
      <c r="A660" s="58" t="s">
        <v>491</v>
      </c>
      <c r="B660" s="58">
        <v>2</v>
      </c>
      <c r="C660" s="5">
        <f t="shared" si="9"/>
        <v>8.8495575221238937E-3</v>
      </c>
    </row>
    <row r="661" spans="1:6" x14ac:dyDescent="0.25">
      <c r="A661" s="58" t="s">
        <v>53</v>
      </c>
      <c r="B661" s="58">
        <f>SUM(B656:B660)</f>
        <v>226</v>
      </c>
      <c r="C661" s="5">
        <f t="shared" si="9"/>
        <v>1</v>
      </c>
    </row>
    <row r="664" spans="1:6" x14ac:dyDescent="0.25">
      <c r="A664" s="17" t="s">
        <v>492</v>
      </c>
    </row>
    <row r="666" spans="1:6" x14ac:dyDescent="0.25">
      <c r="A666" s="5"/>
      <c r="B666" s="5" t="s">
        <v>495</v>
      </c>
      <c r="C666" s="5" t="s">
        <v>496</v>
      </c>
      <c r="D666" s="5" t="s">
        <v>497</v>
      </c>
      <c r="E666" s="5" t="s">
        <v>498</v>
      </c>
      <c r="F666" s="5" t="s">
        <v>821</v>
      </c>
    </row>
    <row r="667" spans="1:6" x14ac:dyDescent="0.25">
      <c r="A667" s="5" t="s">
        <v>493</v>
      </c>
      <c r="B667" s="5">
        <v>0.51315789473684215</v>
      </c>
      <c r="C667" s="5">
        <v>0.32456140350877194</v>
      </c>
      <c r="D667" s="5">
        <v>0.10526315789473684</v>
      </c>
      <c r="E667" s="5">
        <v>3.5087719298245612E-2</v>
      </c>
      <c r="F667" s="5">
        <v>2.1929824561403508E-2</v>
      </c>
    </row>
    <row r="668" spans="1:6" x14ac:dyDescent="0.25">
      <c r="A668" s="5" t="s">
        <v>494</v>
      </c>
      <c r="B668" s="5">
        <v>0.64035087719298245</v>
      </c>
      <c r="C668" s="5">
        <v>0.28947368421052633</v>
      </c>
      <c r="D668" s="5">
        <v>4.8245614035087717E-2</v>
      </c>
      <c r="E668" s="5">
        <v>2.1929824561403508E-2</v>
      </c>
      <c r="F668" s="5">
        <v>0</v>
      </c>
    </row>
    <row r="671" spans="1:6" x14ac:dyDescent="0.25">
      <c r="A671" s="3" t="s">
        <v>500</v>
      </c>
    </row>
    <row r="673" spans="1:3" x14ac:dyDescent="0.25">
      <c r="A673" s="42"/>
      <c r="B673" s="42" t="s">
        <v>10</v>
      </c>
      <c r="C673" s="84" t="s">
        <v>78</v>
      </c>
    </row>
    <row r="674" spans="1:3" x14ac:dyDescent="0.25">
      <c r="A674" s="37" t="s">
        <v>514</v>
      </c>
      <c r="B674" s="38">
        <v>2</v>
      </c>
      <c r="C674" s="25">
        <f>B674/407</f>
        <v>4.9140049140049139E-3</v>
      </c>
    </row>
    <row r="675" spans="1:3" x14ac:dyDescent="0.25">
      <c r="A675" s="37" t="s">
        <v>502</v>
      </c>
      <c r="B675" s="38">
        <v>2</v>
      </c>
      <c r="C675" s="25">
        <f t="shared" ref="C675:C688" si="10">B675/407</f>
        <v>4.9140049140049139E-3</v>
      </c>
    </row>
    <row r="676" spans="1:3" x14ac:dyDescent="0.25">
      <c r="A676" s="37" t="s">
        <v>506</v>
      </c>
      <c r="B676" s="38">
        <v>2</v>
      </c>
      <c r="C676" s="25">
        <f t="shared" si="10"/>
        <v>4.9140049140049139E-3</v>
      </c>
    </row>
    <row r="677" spans="1:3" x14ac:dyDescent="0.25">
      <c r="A677" s="37" t="s">
        <v>507</v>
      </c>
      <c r="B677" s="38">
        <v>4</v>
      </c>
      <c r="C677" s="25">
        <f t="shared" si="10"/>
        <v>9.8280098280098278E-3</v>
      </c>
    </row>
    <row r="678" spans="1:3" x14ac:dyDescent="0.25">
      <c r="A678" s="37" t="s">
        <v>508</v>
      </c>
      <c r="B678" s="38">
        <v>10</v>
      </c>
      <c r="C678" s="25">
        <f t="shared" si="10"/>
        <v>2.4570024570024569E-2</v>
      </c>
    </row>
    <row r="679" spans="1:3" x14ac:dyDescent="0.25">
      <c r="A679" s="37" t="s">
        <v>509</v>
      </c>
      <c r="B679" s="38">
        <v>20</v>
      </c>
      <c r="C679" s="25">
        <f t="shared" si="10"/>
        <v>4.9140049140049137E-2</v>
      </c>
    </row>
    <row r="680" spans="1:3" x14ac:dyDescent="0.25">
      <c r="A680" s="37" t="s">
        <v>510</v>
      </c>
      <c r="B680" s="38">
        <v>42</v>
      </c>
      <c r="C680" s="25">
        <f t="shared" si="10"/>
        <v>0.10319410319410319</v>
      </c>
    </row>
    <row r="681" spans="1:3" x14ac:dyDescent="0.25">
      <c r="A681" s="37" t="s">
        <v>511</v>
      </c>
      <c r="B681" s="38">
        <v>22</v>
      </c>
      <c r="C681" s="25">
        <f t="shared" si="10"/>
        <v>5.4054054054054057E-2</v>
      </c>
    </row>
    <row r="682" spans="1:3" x14ac:dyDescent="0.25">
      <c r="A682" s="37" t="s">
        <v>512</v>
      </c>
      <c r="B682" s="38">
        <v>15</v>
      </c>
      <c r="C682" s="25">
        <f t="shared" si="10"/>
        <v>3.6855036855036855E-2</v>
      </c>
    </row>
    <row r="683" spans="1:3" x14ac:dyDescent="0.25">
      <c r="A683" s="37" t="s">
        <v>513</v>
      </c>
      <c r="B683" s="38">
        <v>9</v>
      </c>
      <c r="C683" s="25">
        <f t="shared" si="10"/>
        <v>2.2113022113022112E-2</v>
      </c>
    </row>
    <row r="684" spans="1:3" x14ac:dyDescent="0.25">
      <c r="A684" s="37" t="s">
        <v>503</v>
      </c>
      <c r="B684" s="38">
        <v>23</v>
      </c>
      <c r="C684" s="25">
        <f t="shared" si="10"/>
        <v>5.6511056511056514E-2</v>
      </c>
    </row>
    <row r="685" spans="1:3" x14ac:dyDescent="0.25">
      <c r="A685" s="37" t="s">
        <v>504</v>
      </c>
      <c r="B685" s="38">
        <v>6</v>
      </c>
      <c r="C685" s="25">
        <f t="shared" si="10"/>
        <v>1.4742014742014743E-2</v>
      </c>
    </row>
    <row r="686" spans="1:3" x14ac:dyDescent="0.25">
      <c r="A686" s="37" t="s">
        <v>505</v>
      </c>
      <c r="B686" s="38">
        <v>3</v>
      </c>
      <c r="C686" s="25">
        <f t="shared" si="10"/>
        <v>7.3710073710073713E-3</v>
      </c>
    </row>
    <row r="687" spans="1:3" x14ac:dyDescent="0.25">
      <c r="A687" s="44" t="s">
        <v>515</v>
      </c>
      <c r="B687" s="38">
        <v>247</v>
      </c>
      <c r="C687" s="25">
        <f t="shared" si="10"/>
        <v>0.60687960687960685</v>
      </c>
    </row>
    <row r="688" spans="1:3" x14ac:dyDescent="0.25">
      <c r="A688" s="44" t="s">
        <v>53</v>
      </c>
      <c r="B688" s="45">
        <f>SUM(B674:B687)</f>
        <v>407</v>
      </c>
      <c r="C688" s="25">
        <f t="shared" si="10"/>
        <v>1</v>
      </c>
    </row>
    <row r="689" spans="1:4" x14ac:dyDescent="0.25">
      <c r="A689" s="85"/>
      <c r="B689" s="40"/>
      <c r="C689" s="41"/>
    </row>
    <row r="690" spans="1:4" x14ac:dyDescent="0.25">
      <c r="A690" s="85"/>
      <c r="B690" s="40"/>
      <c r="C690" s="41"/>
    </row>
    <row r="691" spans="1:4" ht="30" x14ac:dyDescent="0.25">
      <c r="A691" s="39" t="s">
        <v>520</v>
      </c>
      <c r="B691" s="40"/>
      <c r="C691" s="41"/>
    </row>
    <row r="692" spans="1:4" x14ac:dyDescent="0.25">
      <c r="A692" s="42" t="s">
        <v>501</v>
      </c>
      <c r="B692" s="42" t="s">
        <v>10</v>
      </c>
      <c r="C692" s="43" t="s">
        <v>78</v>
      </c>
      <c r="D692" s="86"/>
    </row>
    <row r="693" spans="1:4" x14ac:dyDescent="0.25">
      <c r="A693" s="37" t="s">
        <v>526</v>
      </c>
      <c r="B693" s="38">
        <v>13</v>
      </c>
      <c r="C693" s="5">
        <f>B693/407</f>
        <v>3.1941031941031942E-2</v>
      </c>
      <c r="D693" s="86"/>
    </row>
    <row r="694" spans="1:4" x14ac:dyDescent="0.25">
      <c r="A694" s="37" t="s">
        <v>525</v>
      </c>
      <c r="B694" s="38">
        <v>22</v>
      </c>
      <c r="C694" s="5">
        <f t="shared" ref="C694:C704" si="11">B694/407</f>
        <v>5.4054054054054057E-2</v>
      </c>
      <c r="D694" s="86"/>
    </row>
    <row r="695" spans="1:4" x14ac:dyDescent="0.25">
      <c r="A695" s="37" t="s">
        <v>521</v>
      </c>
      <c r="B695" s="38">
        <v>10</v>
      </c>
      <c r="C695" s="5">
        <f t="shared" si="11"/>
        <v>2.4570024570024569E-2</v>
      </c>
      <c r="D695" s="86"/>
    </row>
    <row r="696" spans="1:4" x14ac:dyDescent="0.25">
      <c r="A696" s="37" t="s">
        <v>522</v>
      </c>
      <c r="B696" s="38">
        <v>8</v>
      </c>
      <c r="C696" s="5">
        <f t="shared" si="11"/>
        <v>1.9656019656019656E-2</v>
      </c>
      <c r="D696" s="86"/>
    </row>
    <row r="697" spans="1:4" x14ac:dyDescent="0.25">
      <c r="A697" s="37" t="s">
        <v>523</v>
      </c>
      <c r="B697" s="38">
        <v>4</v>
      </c>
      <c r="C697" s="5">
        <f t="shared" si="11"/>
        <v>9.8280098280098278E-3</v>
      </c>
      <c r="D697" s="86"/>
    </row>
    <row r="698" spans="1:4" x14ac:dyDescent="0.25">
      <c r="A698" s="37" t="s">
        <v>524</v>
      </c>
      <c r="B698" s="38">
        <v>2</v>
      </c>
      <c r="C698" s="5">
        <f t="shared" si="11"/>
        <v>4.9140049140049139E-3</v>
      </c>
      <c r="D698" s="86"/>
    </row>
    <row r="699" spans="1:4" x14ac:dyDescent="0.25">
      <c r="A699" s="37" t="s">
        <v>509</v>
      </c>
      <c r="B699" s="38">
        <v>2</v>
      </c>
      <c r="C699" s="5">
        <f t="shared" si="11"/>
        <v>4.9140049140049139E-3</v>
      </c>
      <c r="D699" s="86"/>
    </row>
    <row r="700" spans="1:4" x14ac:dyDescent="0.25">
      <c r="A700" s="37" t="s">
        <v>510</v>
      </c>
      <c r="B700" s="38">
        <v>2</v>
      </c>
      <c r="C700" s="5">
        <f t="shared" si="11"/>
        <v>4.9140049140049139E-3</v>
      </c>
      <c r="D700" s="86"/>
    </row>
    <row r="701" spans="1:4" x14ac:dyDescent="0.25">
      <c r="A701" s="37" t="s">
        <v>511</v>
      </c>
      <c r="B701" s="38">
        <v>1</v>
      </c>
      <c r="C701" s="5">
        <f t="shared" si="11"/>
        <v>2.4570024570024569E-3</v>
      </c>
      <c r="D701" s="86"/>
    </row>
    <row r="702" spans="1:4" x14ac:dyDescent="0.25">
      <c r="A702" s="37" t="s">
        <v>512</v>
      </c>
      <c r="B702" s="38">
        <v>2</v>
      </c>
      <c r="C702" s="5">
        <f t="shared" si="11"/>
        <v>4.9140049140049139E-3</v>
      </c>
      <c r="D702" s="86"/>
    </row>
    <row r="703" spans="1:4" x14ac:dyDescent="0.25">
      <c r="A703" s="44" t="s">
        <v>527</v>
      </c>
      <c r="B703" s="38">
        <v>341</v>
      </c>
      <c r="C703" s="5">
        <f t="shared" si="11"/>
        <v>0.83783783783783783</v>
      </c>
      <c r="D703" s="86"/>
    </row>
    <row r="704" spans="1:4" x14ac:dyDescent="0.25">
      <c r="A704" s="44" t="s">
        <v>53</v>
      </c>
      <c r="B704" s="45">
        <f>SUM(B693:B703)</f>
        <v>407</v>
      </c>
      <c r="C704" s="5">
        <f t="shared" si="11"/>
        <v>1</v>
      </c>
      <c r="D704" s="86"/>
    </row>
    <row r="705" spans="1:7" x14ac:dyDescent="0.25">
      <c r="A705" s="85"/>
      <c r="B705" s="40"/>
      <c r="C705" s="41"/>
    </row>
    <row r="707" spans="1:7" x14ac:dyDescent="0.25">
      <c r="A707" s="3" t="s">
        <v>516</v>
      </c>
    </row>
    <row r="708" spans="1:7" x14ac:dyDescent="0.25">
      <c r="A708" s="58"/>
      <c r="B708" s="58" t="s">
        <v>10</v>
      </c>
      <c r="C708" s="58" t="s">
        <v>78</v>
      </c>
    </row>
    <row r="709" spans="1:7" x14ac:dyDescent="0.25">
      <c r="A709" s="58" t="s">
        <v>517</v>
      </c>
      <c r="B709" s="58">
        <v>7</v>
      </c>
      <c r="C709" s="5">
        <f>B709/$B$712</f>
        <v>4.3478260869565216E-2</v>
      </c>
    </row>
    <row r="710" spans="1:7" x14ac:dyDescent="0.25">
      <c r="A710" s="58" t="s">
        <v>518</v>
      </c>
      <c r="B710" s="58">
        <v>119</v>
      </c>
      <c r="C710" s="5">
        <f>B710/$B$712</f>
        <v>0.73913043478260865</v>
      </c>
    </row>
    <row r="711" spans="1:7" x14ac:dyDescent="0.25">
      <c r="A711" s="58" t="s">
        <v>519</v>
      </c>
      <c r="B711" s="58">
        <v>35</v>
      </c>
      <c r="C711" s="5">
        <f>B711/$B$712</f>
        <v>0.21739130434782608</v>
      </c>
    </row>
    <row r="712" spans="1:7" x14ac:dyDescent="0.25">
      <c r="A712" s="58" t="s">
        <v>53</v>
      </c>
      <c r="B712" s="58">
        <f>SUM(B709:B711)</f>
        <v>161</v>
      </c>
      <c r="C712" s="5">
        <f>B712/$B$712</f>
        <v>1</v>
      </c>
    </row>
    <row r="715" spans="1:7" x14ac:dyDescent="0.25">
      <c r="A715" s="35" t="s">
        <v>541</v>
      </c>
      <c r="B715" s="35"/>
      <c r="C715" s="35"/>
      <c r="D715" s="35"/>
      <c r="E715" s="35"/>
      <c r="F715" s="35"/>
      <c r="G715" s="86"/>
    </row>
    <row r="716" spans="1:7" x14ac:dyDescent="0.25">
      <c r="A716" s="36"/>
      <c r="B716" s="36" t="s">
        <v>10</v>
      </c>
      <c r="C716" s="36" t="s">
        <v>78</v>
      </c>
      <c r="D716" s="86"/>
    </row>
    <row r="717" spans="1:7" x14ac:dyDescent="0.25">
      <c r="A717" s="37" t="s">
        <v>540</v>
      </c>
      <c r="B717" s="38">
        <v>1</v>
      </c>
      <c r="C717" s="5">
        <f>B717/407</f>
        <v>2.4570024570024569E-3</v>
      </c>
      <c r="D717" s="86"/>
    </row>
    <row r="718" spans="1:7" x14ac:dyDescent="0.25">
      <c r="A718" s="37" t="s">
        <v>537</v>
      </c>
      <c r="B718" s="38">
        <v>2</v>
      </c>
      <c r="C718" s="5">
        <f t="shared" ref="C718:C731" si="12">B718/407</f>
        <v>4.9140049140049139E-3</v>
      </c>
      <c r="D718" s="86"/>
    </row>
    <row r="719" spans="1:7" x14ac:dyDescent="0.25">
      <c r="A719" s="37" t="s">
        <v>528</v>
      </c>
      <c r="B719" s="38">
        <v>3</v>
      </c>
      <c r="C719" s="5">
        <f t="shared" si="12"/>
        <v>7.3710073710073713E-3</v>
      </c>
      <c r="D719" s="86"/>
    </row>
    <row r="720" spans="1:7" x14ac:dyDescent="0.25">
      <c r="A720" s="37" t="s">
        <v>530</v>
      </c>
      <c r="B720" s="38">
        <v>7</v>
      </c>
      <c r="C720" s="5">
        <f t="shared" si="12"/>
        <v>1.7199017199017199E-2</v>
      </c>
      <c r="D720" s="86"/>
    </row>
    <row r="721" spans="1:4" x14ac:dyDescent="0.25">
      <c r="A721" s="37" t="s">
        <v>531</v>
      </c>
      <c r="B721" s="38">
        <v>12</v>
      </c>
      <c r="C721" s="5">
        <f t="shared" si="12"/>
        <v>2.9484029484029485E-2</v>
      </c>
      <c r="D721" s="86"/>
    </row>
    <row r="722" spans="1:4" x14ac:dyDescent="0.25">
      <c r="A722" s="37" t="s">
        <v>532</v>
      </c>
      <c r="B722" s="38">
        <v>16</v>
      </c>
      <c r="C722" s="5">
        <f t="shared" si="12"/>
        <v>3.9312039312039311E-2</v>
      </c>
      <c r="D722" s="86"/>
    </row>
    <row r="723" spans="1:4" x14ac:dyDescent="0.25">
      <c r="A723" s="37" t="s">
        <v>533</v>
      </c>
      <c r="B723" s="38">
        <v>11</v>
      </c>
      <c r="C723" s="5">
        <f t="shared" si="12"/>
        <v>2.7027027027027029E-2</v>
      </c>
      <c r="D723" s="86"/>
    </row>
    <row r="724" spans="1:4" x14ac:dyDescent="0.25">
      <c r="A724" s="37" t="s">
        <v>534</v>
      </c>
      <c r="B724" s="38">
        <v>3</v>
      </c>
      <c r="C724" s="5">
        <f t="shared" si="12"/>
        <v>7.3710073710073713E-3</v>
      </c>
      <c r="D724" s="86"/>
    </row>
    <row r="725" spans="1:4" x14ac:dyDescent="0.25">
      <c r="A725" s="37" t="s">
        <v>535</v>
      </c>
      <c r="B725" s="38">
        <v>2</v>
      </c>
      <c r="C725" s="5">
        <f t="shared" si="12"/>
        <v>4.9140049140049139E-3</v>
      </c>
      <c r="D725" s="86"/>
    </row>
    <row r="726" spans="1:4" x14ac:dyDescent="0.25">
      <c r="A726" s="37" t="s">
        <v>536</v>
      </c>
      <c r="B726" s="38">
        <v>1</v>
      </c>
      <c r="C726" s="5">
        <f t="shared" si="12"/>
        <v>2.4570024570024569E-3</v>
      </c>
      <c r="D726" s="86"/>
    </row>
    <row r="727" spans="1:4" x14ac:dyDescent="0.25">
      <c r="A727" s="37" t="s">
        <v>538</v>
      </c>
      <c r="B727" s="38">
        <v>1</v>
      </c>
      <c r="C727" s="5">
        <f t="shared" si="12"/>
        <v>2.4570024570024569E-3</v>
      </c>
      <c r="D727" s="86"/>
    </row>
    <row r="728" spans="1:4" x14ac:dyDescent="0.25">
      <c r="A728" s="37" t="s">
        <v>539</v>
      </c>
      <c r="B728" s="38">
        <v>1</v>
      </c>
      <c r="C728" s="5">
        <f t="shared" si="12"/>
        <v>2.4570024570024569E-3</v>
      </c>
      <c r="D728" s="86"/>
    </row>
    <row r="729" spans="1:4" x14ac:dyDescent="0.25">
      <c r="A729" s="37" t="s">
        <v>529</v>
      </c>
      <c r="B729" s="38">
        <v>1</v>
      </c>
      <c r="C729" s="5">
        <f t="shared" si="12"/>
        <v>2.4570024570024569E-3</v>
      </c>
      <c r="D729" s="86"/>
    </row>
    <row r="730" spans="1:4" x14ac:dyDescent="0.25">
      <c r="A730" s="37" t="s">
        <v>515</v>
      </c>
      <c r="B730" s="38">
        <v>346</v>
      </c>
      <c r="C730" s="5">
        <f t="shared" si="12"/>
        <v>0.85012285012285016</v>
      </c>
      <c r="D730" s="86"/>
    </row>
    <row r="731" spans="1:4" x14ac:dyDescent="0.25">
      <c r="A731" s="37" t="s">
        <v>53</v>
      </c>
      <c r="B731" s="38">
        <v>407</v>
      </c>
      <c r="C731" s="5">
        <f t="shared" si="12"/>
        <v>1</v>
      </c>
      <c r="D731" s="86"/>
    </row>
    <row r="734" spans="1:4" x14ac:dyDescent="0.25">
      <c r="A734" s="3" t="s">
        <v>542</v>
      </c>
    </row>
    <row r="736" spans="1:4" x14ac:dyDescent="0.25">
      <c r="A736" s="46"/>
      <c r="B736" s="47" t="s">
        <v>10</v>
      </c>
      <c r="C736" s="58" t="s">
        <v>78</v>
      </c>
    </row>
    <row r="737" spans="1:3" x14ac:dyDescent="0.25">
      <c r="A737" s="48" t="s">
        <v>543</v>
      </c>
      <c r="B737" s="49">
        <v>1</v>
      </c>
      <c r="C737" s="5">
        <f>B737/407</f>
        <v>2.4570024570024569E-3</v>
      </c>
    </row>
    <row r="738" spans="1:3" x14ac:dyDescent="0.25">
      <c r="A738" s="48" t="s">
        <v>544</v>
      </c>
      <c r="B738" s="49">
        <v>1</v>
      </c>
      <c r="C738" s="5">
        <f t="shared" ref="C738:C761" si="13">B738/407</f>
        <v>2.4570024570024569E-3</v>
      </c>
    </row>
    <row r="739" spans="1:3" x14ac:dyDescent="0.25">
      <c r="A739" s="48" t="s">
        <v>545</v>
      </c>
      <c r="B739" s="49">
        <v>17</v>
      </c>
      <c r="C739" s="5">
        <f t="shared" si="13"/>
        <v>4.1769041769041768E-2</v>
      </c>
    </row>
    <row r="740" spans="1:3" x14ac:dyDescent="0.25">
      <c r="A740" s="48" t="s">
        <v>546</v>
      </c>
      <c r="B740" s="49">
        <v>18</v>
      </c>
      <c r="C740" s="5">
        <f t="shared" si="13"/>
        <v>4.4226044226044224E-2</v>
      </c>
    </row>
    <row r="741" spans="1:3" x14ac:dyDescent="0.25">
      <c r="A741" s="48" t="s">
        <v>547</v>
      </c>
      <c r="B741" s="49">
        <v>16</v>
      </c>
      <c r="C741" s="5">
        <f t="shared" si="13"/>
        <v>3.9312039312039311E-2</v>
      </c>
    </row>
    <row r="742" spans="1:3" x14ac:dyDescent="0.25">
      <c r="A742" s="48" t="s">
        <v>548</v>
      </c>
      <c r="B742" s="49">
        <v>9</v>
      </c>
      <c r="C742" s="5">
        <f t="shared" si="13"/>
        <v>2.2113022113022112E-2</v>
      </c>
    </row>
    <row r="743" spans="1:3" x14ac:dyDescent="0.25">
      <c r="A743" s="48" t="s">
        <v>549</v>
      </c>
      <c r="B743" s="49">
        <v>10</v>
      </c>
      <c r="C743" s="5">
        <f t="shared" si="13"/>
        <v>2.4570024570024569E-2</v>
      </c>
    </row>
    <row r="744" spans="1:3" x14ac:dyDescent="0.25">
      <c r="A744" s="48" t="s">
        <v>550</v>
      </c>
      <c r="B744" s="49">
        <v>28</v>
      </c>
      <c r="C744" s="5">
        <f t="shared" si="13"/>
        <v>6.8796068796068796E-2</v>
      </c>
    </row>
    <row r="745" spans="1:3" x14ac:dyDescent="0.25">
      <c r="A745" s="48" t="s">
        <v>551</v>
      </c>
      <c r="B745" s="49">
        <v>3</v>
      </c>
      <c r="C745" s="5">
        <f t="shared" si="13"/>
        <v>7.3710073710073713E-3</v>
      </c>
    </row>
    <row r="746" spans="1:3" x14ac:dyDescent="0.25">
      <c r="A746" s="48" t="s">
        <v>552</v>
      </c>
      <c r="B746" s="49">
        <v>13</v>
      </c>
      <c r="C746" s="5">
        <f t="shared" si="13"/>
        <v>3.1941031941031942E-2</v>
      </c>
    </row>
    <row r="747" spans="1:3" x14ac:dyDescent="0.25">
      <c r="A747" s="48" t="s">
        <v>553</v>
      </c>
      <c r="B747" s="49">
        <v>2</v>
      </c>
      <c r="C747" s="5">
        <f t="shared" si="13"/>
        <v>4.9140049140049139E-3</v>
      </c>
    </row>
    <row r="748" spans="1:3" x14ac:dyDescent="0.25">
      <c r="A748" s="48" t="s">
        <v>554</v>
      </c>
      <c r="B748" s="49">
        <v>2</v>
      </c>
      <c r="C748" s="5">
        <f t="shared" si="13"/>
        <v>4.9140049140049139E-3</v>
      </c>
    </row>
    <row r="749" spans="1:3" x14ac:dyDescent="0.25">
      <c r="A749" s="48" t="s">
        <v>555</v>
      </c>
      <c r="B749" s="49">
        <v>3</v>
      </c>
      <c r="C749" s="5">
        <f t="shared" si="13"/>
        <v>7.3710073710073713E-3</v>
      </c>
    </row>
    <row r="750" spans="1:3" x14ac:dyDescent="0.25">
      <c r="A750" s="48" t="s">
        <v>556</v>
      </c>
      <c r="B750" s="49">
        <v>4</v>
      </c>
      <c r="C750" s="5">
        <f t="shared" si="13"/>
        <v>9.8280098280098278E-3</v>
      </c>
    </row>
    <row r="751" spans="1:3" x14ac:dyDescent="0.25">
      <c r="A751" s="48" t="s">
        <v>557</v>
      </c>
      <c r="B751" s="49">
        <v>3</v>
      </c>
      <c r="C751" s="5">
        <f t="shared" si="13"/>
        <v>7.3710073710073713E-3</v>
      </c>
    </row>
    <row r="752" spans="1:3" x14ac:dyDescent="0.25">
      <c r="A752" s="48" t="s">
        <v>558</v>
      </c>
      <c r="B752" s="49">
        <v>7</v>
      </c>
      <c r="C752" s="5">
        <f t="shared" si="13"/>
        <v>1.7199017199017199E-2</v>
      </c>
    </row>
    <row r="753" spans="1:3" x14ac:dyDescent="0.25">
      <c r="A753" s="48" t="s">
        <v>141</v>
      </c>
      <c r="B753" s="49">
        <v>12</v>
      </c>
      <c r="C753" s="5">
        <f t="shared" si="13"/>
        <v>2.9484029484029485E-2</v>
      </c>
    </row>
    <row r="754" spans="1:3" x14ac:dyDescent="0.25">
      <c r="A754" s="48" t="s">
        <v>559</v>
      </c>
      <c r="B754" s="49">
        <v>2</v>
      </c>
      <c r="C754" s="5">
        <f t="shared" si="13"/>
        <v>4.9140049140049139E-3</v>
      </c>
    </row>
    <row r="755" spans="1:3" x14ac:dyDescent="0.25">
      <c r="A755" s="48" t="s">
        <v>560</v>
      </c>
      <c r="B755" s="49">
        <v>4</v>
      </c>
      <c r="C755" s="5">
        <f t="shared" si="13"/>
        <v>9.8280098280098278E-3</v>
      </c>
    </row>
    <row r="756" spans="1:3" x14ac:dyDescent="0.25">
      <c r="A756" s="48" t="s">
        <v>561</v>
      </c>
      <c r="B756" s="49">
        <v>11</v>
      </c>
      <c r="C756" s="5">
        <f t="shared" si="13"/>
        <v>2.7027027027027029E-2</v>
      </c>
    </row>
    <row r="757" spans="1:3" x14ac:dyDescent="0.25">
      <c r="A757" s="48" t="s">
        <v>562</v>
      </c>
      <c r="B757" s="49">
        <v>9</v>
      </c>
      <c r="C757" s="5">
        <f t="shared" si="13"/>
        <v>2.2113022113022112E-2</v>
      </c>
    </row>
    <row r="758" spans="1:3" x14ac:dyDescent="0.25">
      <c r="A758" s="48" t="s">
        <v>563</v>
      </c>
      <c r="B758" s="49">
        <v>7</v>
      </c>
      <c r="C758" s="5">
        <f t="shared" si="13"/>
        <v>1.7199017199017199E-2</v>
      </c>
    </row>
    <row r="759" spans="1:3" x14ac:dyDescent="0.25">
      <c r="A759" s="48" t="s">
        <v>564</v>
      </c>
      <c r="B759" s="49">
        <v>41</v>
      </c>
      <c r="C759" s="5">
        <f t="shared" si="13"/>
        <v>0.10073710073710074</v>
      </c>
    </row>
    <row r="760" spans="1:3" x14ac:dyDescent="0.25">
      <c r="A760" s="48" t="s">
        <v>515</v>
      </c>
      <c r="B760" s="49">
        <v>184</v>
      </c>
      <c r="C760" s="5">
        <f t="shared" si="13"/>
        <v>0.45208845208845211</v>
      </c>
    </row>
    <row r="761" spans="1:3" x14ac:dyDescent="0.25">
      <c r="A761" s="48" t="s">
        <v>53</v>
      </c>
      <c r="B761" s="49">
        <v>407</v>
      </c>
      <c r="C761" s="5">
        <f t="shared" si="13"/>
        <v>1</v>
      </c>
    </row>
    <row r="764" spans="1:3" x14ac:dyDescent="0.25">
      <c r="A764" s="3" t="s">
        <v>565</v>
      </c>
    </row>
    <row r="766" spans="1:3" x14ac:dyDescent="0.25">
      <c r="A766" s="46"/>
      <c r="B766" s="47" t="s">
        <v>10</v>
      </c>
      <c r="C766" s="58" t="s">
        <v>78</v>
      </c>
    </row>
    <row r="767" spans="1:3" x14ac:dyDescent="0.25">
      <c r="A767" s="48" t="s">
        <v>544</v>
      </c>
      <c r="B767" s="49">
        <v>3</v>
      </c>
      <c r="C767" s="5">
        <f>B767/407</f>
        <v>7.3710073710073713E-3</v>
      </c>
    </row>
    <row r="768" spans="1:3" x14ac:dyDescent="0.25">
      <c r="A768" s="48" t="s">
        <v>545</v>
      </c>
      <c r="B768" s="49">
        <v>16</v>
      </c>
      <c r="C768" s="5">
        <f t="shared" ref="C768:C791" si="14">B768/407</f>
        <v>3.9312039312039311E-2</v>
      </c>
    </row>
    <row r="769" spans="1:3" x14ac:dyDescent="0.25">
      <c r="A769" s="48" t="s">
        <v>546</v>
      </c>
      <c r="B769" s="49">
        <v>14</v>
      </c>
      <c r="C769" s="5">
        <f t="shared" si="14"/>
        <v>3.4398034398034398E-2</v>
      </c>
    </row>
    <row r="770" spans="1:3" x14ac:dyDescent="0.25">
      <c r="A770" s="48" t="s">
        <v>547</v>
      </c>
      <c r="B770" s="49">
        <v>21</v>
      </c>
      <c r="C770" s="5">
        <f t="shared" si="14"/>
        <v>5.1597051597051594E-2</v>
      </c>
    </row>
    <row r="771" spans="1:3" x14ac:dyDescent="0.25">
      <c r="A771" s="48" t="s">
        <v>548</v>
      </c>
      <c r="B771" s="49">
        <v>10</v>
      </c>
      <c r="C771" s="5">
        <f t="shared" si="14"/>
        <v>2.4570024570024569E-2</v>
      </c>
    </row>
    <row r="772" spans="1:3" x14ac:dyDescent="0.25">
      <c r="A772" s="48" t="s">
        <v>549</v>
      </c>
      <c r="B772" s="49">
        <v>11</v>
      </c>
      <c r="C772" s="5">
        <f t="shared" si="14"/>
        <v>2.7027027027027029E-2</v>
      </c>
    </row>
    <row r="773" spans="1:3" x14ac:dyDescent="0.25">
      <c r="A773" s="48" t="s">
        <v>550</v>
      </c>
      <c r="B773" s="49">
        <v>18</v>
      </c>
      <c r="C773" s="5">
        <f t="shared" si="14"/>
        <v>4.4226044226044224E-2</v>
      </c>
    </row>
    <row r="774" spans="1:3" x14ac:dyDescent="0.25">
      <c r="A774" s="48" t="s">
        <v>551</v>
      </c>
      <c r="B774" s="49">
        <v>2</v>
      </c>
      <c r="C774" s="5">
        <f t="shared" si="14"/>
        <v>4.9140049140049139E-3</v>
      </c>
    </row>
    <row r="775" spans="1:3" x14ac:dyDescent="0.25">
      <c r="A775" s="48" t="s">
        <v>552</v>
      </c>
      <c r="B775" s="49">
        <v>13</v>
      </c>
      <c r="C775" s="5">
        <f t="shared" si="14"/>
        <v>3.1941031941031942E-2</v>
      </c>
    </row>
    <row r="776" spans="1:3" x14ac:dyDescent="0.25">
      <c r="A776" s="48" t="s">
        <v>554</v>
      </c>
      <c r="B776" s="49">
        <v>3</v>
      </c>
      <c r="C776" s="5">
        <f t="shared" si="14"/>
        <v>7.3710073710073713E-3</v>
      </c>
    </row>
    <row r="777" spans="1:3" x14ac:dyDescent="0.25">
      <c r="A777" s="48" t="s">
        <v>555</v>
      </c>
      <c r="B777" s="49">
        <v>3</v>
      </c>
      <c r="C777" s="5">
        <f t="shared" si="14"/>
        <v>7.3710073710073713E-3</v>
      </c>
    </row>
    <row r="778" spans="1:3" x14ac:dyDescent="0.25">
      <c r="A778" s="48" t="s">
        <v>556</v>
      </c>
      <c r="B778" s="49">
        <v>2</v>
      </c>
      <c r="C778" s="5">
        <f t="shared" si="14"/>
        <v>4.9140049140049139E-3</v>
      </c>
    </row>
    <row r="779" spans="1:3" x14ac:dyDescent="0.25">
      <c r="A779" s="48" t="s">
        <v>557</v>
      </c>
      <c r="B779" s="49">
        <v>3</v>
      </c>
      <c r="C779" s="5">
        <f t="shared" si="14"/>
        <v>7.3710073710073713E-3</v>
      </c>
    </row>
    <row r="780" spans="1:3" x14ac:dyDescent="0.25">
      <c r="A780" s="48" t="s">
        <v>558</v>
      </c>
      <c r="B780" s="49">
        <v>8</v>
      </c>
      <c r="C780" s="5">
        <f t="shared" si="14"/>
        <v>1.9656019656019656E-2</v>
      </c>
    </row>
    <row r="781" spans="1:3" x14ac:dyDescent="0.25">
      <c r="A781" s="48" t="s">
        <v>566</v>
      </c>
      <c r="B781" s="49">
        <v>1</v>
      </c>
      <c r="C781" s="5">
        <f t="shared" si="14"/>
        <v>2.4570024570024569E-3</v>
      </c>
    </row>
    <row r="782" spans="1:3" x14ac:dyDescent="0.25">
      <c r="A782" s="48" t="s">
        <v>141</v>
      </c>
      <c r="B782" s="49">
        <v>17</v>
      </c>
      <c r="C782" s="5">
        <f t="shared" si="14"/>
        <v>4.1769041769041768E-2</v>
      </c>
    </row>
    <row r="783" spans="1:3" x14ac:dyDescent="0.25">
      <c r="A783" s="48" t="s">
        <v>559</v>
      </c>
      <c r="B783" s="49">
        <v>2</v>
      </c>
      <c r="C783" s="5">
        <f t="shared" si="14"/>
        <v>4.9140049140049139E-3</v>
      </c>
    </row>
    <row r="784" spans="1:3" x14ac:dyDescent="0.25">
      <c r="A784" s="48" t="s">
        <v>560</v>
      </c>
      <c r="B784" s="49">
        <v>5</v>
      </c>
      <c r="C784" s="5">
        <f t="shared" si="14"/>
        <v>1.2285012285012284E-2</v>
      </c>
    </row>
    <row r="785" spans="1:3" x14ac:dyDescent="0.25">
      <c r="A785" s="48" t="s">
        <v>561</v>
      </c>
      <c r="B785" s="49">
        <v>13</v>
      </c>
      <c r="C785" s="5">
        <f t="shared" si="14"/>
        <v>3.1941031941031942E-2</v>
      </c>
    </row>
    <row r="786" spans="1:3" x14ac:dyDescent="0.25">
      <c r="A786" s="48" t="s">
        <v>562</v>
      </c>
      <c r="B786" s="49">
        <v>6</v>
      </c>
      <c r="C786" s="5">
        <f t="shared" si="14"/>
        <v>1.4742014742014743E-2</v>
      </c>
    </row>
    <row r="787" spans="1:3" x14ac:dyDescent="0.25">
      <c r="A787" s="48" t="s">
        <v>563</v>
      </c>
      <c r="B787" s="49">
        <v>7</v>
      </c>
      <c r="C787" s="5">
        <f t="shared" si="14"/>
        <v>1.7199017199017199E-2</v>
      </c>
    </row>
    <row r="788" spans="1:3" x14ac:dyDescent="0.25">
      <c r="A788" s="48" t="s">
        <v>567</v>
      </c>
      <c r="B788" s="49">
        <v>2</v>
      </c>
      <c r="C788" s="5">
        <f t="shared" si="14"/>
        <v>4.9140049140049139E-3</v>
      </c>
    </row>
    <row r="789" spans="1:3" x14ac:dyDescent="0.25">
      <c r="A789" s="48" t="s">
        <v>564</v>
      </c>
      <c r="B789" s="49">
        <v>42</v>
      </c>
      <c r="C789" s="5">
        <f t="shared" si="14"/>
        <v>0.10319410319410319</v>
      </c>
    </row>
    <row r="790" spans="1:3" x14ac:dyDescent="0.25">
      <c r="A790" s="48" t="s">
        <v>515</v>
      </c>
      <c r="B790" s="49">
        <v>185</v>
      </c>
      <c r="C790" s="5">
        <f t="shared" si="14"/>
        <v>0.45454545454545453</v>
      </c>
    </row>
    <row r="791" spans="1:3" x14ac:dyDescent="0.25">
      <c r="A791" s="48" t="s">
        <v>53</v>
      </c>
      <c r="B791" s="49">
        <v>407</v>
      </c>
      <c r="C791" s="5">
        <f t="shared" si="14"/>
        <v>1</v>
      </c>
    </row>
    <row r="794" spans="1:3" x14ac:dyDescent="0.25">
      <c r="A794" s="3" t="s">
        <v>568</v>
      </c>
    </row>
    <row r="796" spans="1:3" x14ac:dyDescent="0.25">
      <c r="A796" s="46"/>
      <c r="B796" s="47" t="s">
        <v>10</v>
      </c>
      <c r="C796" s="58" t="s">
        <v>78</v>
      </c>
    </row>
    <row r="797" spans="1:3" x14ac:dyDescent="0.25">
      <c r="A797" s="48" t="s">
        <v>569</v>
      </c>
      <c r="B797" s="49">
        <v>3</v>
      </c>
      <c r="C797" s="5">
        <f>B797/407</f>
        <v>7.3710073710073713E-3</v>
      </c>
    </row>
    <row r="798" spans="1:3" x14ac:dyDescent="0.25">
      <c r="A798" s="48" t="s">
        <v>570</v>
      </c>
      <c r="B798" s="49">
        <v>1</v>
      </c>
      <c r="C798" s="5">
        <f t="shared" ref="C798:C859" si="15">B798/407</f>
        <v>2.4570024570024569E-3</v>
      </c>
    </row>
    <row r="799" spans="1:3" x14ac:dyDescent="0.25">
      <c r="A799" s="48" t="s">
        <v>543</v>
      </c>
      <c r="B799" s="49">
        <v>1</v>
      </c>
      <c r="C799" s="5">
        <f t="shared" si="15"/>
        <v>2.4570024570024569E-3</v>
      </c>
    </row>
    <row r="800" spans="1:3" x14ac:dyDescent="0.25">
      <c r="A800" s="48" t="s">
        <v>544</v>
      </c>
      <c r="B800" s="49">
        <v>1</v>
      </c>
      <c r="C800" s="5">
        <f t="shared" si="15"/>
        <v>2.4570024570024569E-3</v>
      </c>
    </row>
    <row r="801" spans="1:3" x14ac:dyDescent="0.25">
      <c r="A801" s="48" t="s">
        <v>571</v>
      </c>
      <c r="B801" s="49">
        <v>1</v>
      </c>
      <c r="C801" s="5">
        <f t="shared" si="15"/>
        <v>2.4570024570024569E-3</v>
      </c>
    </row>
    <row r="802" spans="1:3" x14ac:dyDescent="0.25">
      <c r="A802" s="48" t="s">
        <v>572</v>
      </c>
      <c r="B802" s="49">
        <v>1</v>
      </c>
      <c r="C802" s="5">
        <f t="shared" si="15"/>
        <v>2.4570024570024569E-3</v>
      </c>
    </row>
    <row r="803" spans="1:3" x14ac:dyDescent="0.25">
      <c r="A803" s="48" t="s">
        <v>573</v>
      </c>
      <c r="B803" s="49">
        <v>4</v>
      </c>
      <c r="C803" s="5">
        <f t="shared" si="15"/>
        <v>9.8280098280098278E-3</v>
      </c>
    </row>
    <row r="804" spans="1:3" x14ac:dyDescent="0.25">
      <c r="A804" s="48" t="s">
        <v>574</v>
      </c>
      <c r="B804" s="49">
        <v>6</v>
      </c>
      <c r="C804" s="5">
        <f t="shared" si="15"/>
        <v>1.4742014742014743E-2</v>
      </c>
    </row>
    <row r="805" spans="1:3" x14ac:dyDescent="0.25">
      <c r="A805" s="48" t="s">
        <v>575</v>
      </c>
      <c r="B805" s="49">
        <v>1</v>
      </c>
      <c r="C805" s="5">
        <f t="shared" si="15"/>
        <v>2.4570024570024569E-3</v>
      </c>
    </row>
    <row r="806" spans="1:3" x14ac:dyDescent="0.25">
      <c r="A806" s="48" t="s">
        <v>576</v>
      </c>
      <c r="B806" s="49">
        <v>4</v>
      </c>
      <c r="C806" s="5">
        <f t="shared" si="15"/>
        <v>9.8280098280098278E-3</v>
      </c>
    </row>
    <row r="807" spans="1:3" x14ac:dyDescent="0.25">
      <c r="A807" s="48" t="s">
        <v>577</v>
      </c>
      <c r="B807" s="49">
        <v>3</v>
      </c>
      <c r="C807" s="5">
        <f t="shared" si="15"/>
        <v>7.3710073710073713E-3</v>
      </c>
    </row>
    <row r="808" spans="1:3" x14ac:dyDescent="0.25">
      <c r="A808" s="48" t="s">
        <v>578</v>
      </c>
      <c r="B808" s="49">
        <v>3</v>
      </c>
      <c r="C808" s="5">
        <f t="shared" si="15"/>
        <v>7.3710073710073713E-3</v>
      </c>
    </row>
    <row r="809" spans="1:3" x14ac:dyDescent="0.25">
      <c r="A809" s="48" t="s">
        <v>579</v>
      </c>
      <c r="B809" s="49">
        <v>9</v>
      </c>
      <c r="C809" s="5">
        <f t="shared" si="15"/>
        <v>2.2113022113022112E-2</v>
      </c>
    </row>
    <row r="810" spans="1:3" x14ac:dyDescent="0.25">
      <c r="A810" s="48" t="s">
        <v>580</v>
      </c>
      <c r="B810" s="49">
        <v>6</v>
      </c>
      <c r="C810" s="5">
        <f t="shared" si="15"/>
        <v>1.4742014742014743E-2</v>
      </c>
    </row>
    <row r="811" spans="1:3" x14ac:dyDescent="0.25">
      <c r="A811" s="48" t="s">
        <v>581</v>
      </c>
      <c r="B811" s="49">
        <v>4</v>
      </c>
      <c r="C811" s="5">
        <f t="shared" si="15"/>
        <v>9.8280098280098278E-3</v>
      </c>
    </row>
    <row r="812" spans="1:3" x14ac:dyDescent="0.25">
      <c r="A812" s="48" t="s">
        <v>582</v>
      </c>
      <c r="B812" s="49">
        <v>4</v>
      </c>
      <c r="C812" s="5">
        <f t="shared" si="15"/>
        <v>9.8280098280098278E-3</v>
      </c>
    </row>
    <row r="813" spans="1:3" x14ac:dyDescent="0.25">
      <c r="A813" s="48" t="s">
        <v>583</v>
      </c>
      <c r="B813" s="49">
        <v>6</v>
      </c>
      <c r="C813" s="5">
        <f t="shared" si="15"/>
        <v>1.4742014742014743E-2</v>
      </c>
    </row>
    <row r="814" spans="1:3" x14ac:dyDescent="0.25">
      <c r="A814" s="48" t="s">
        <v>584</v>
      </c>
      <c r="B814" s="49">
        <v>3</v>
      </c>
      <c r="C814" s="5">
        <f t="shared" si="15"/>
        <v>7.3710073710073713E-3</v>
      </c>
    </row>
    <row r="815" spans="1:3" x14ac:dyDescent="0.25">
      <c r="A815" s="48" t="s">
        <v>585</v>
      </c>
      <c r="B815" s="49">
        <v>4</v>
      </c>
      <c r="C815" s="5">
        <f t="shared" si="15"/>
        <v>9.8280098280098278E-3</v>
      </c>
    </row>
    <row r="816" spans="1:3" x14ac:dyDescent="0.25">
      <c r="A816" s="48" t="s">
        <v>586</v>
      </c>
      <c r="B816" s="49">
        <v>2</v>
      </c>
      <c r="C816" s="5">
        <f t="shared" si="15"/>
        <v>4.9140049140049139E-3</v>
      </c>
    </row>
    <row r="817" spans="1:3" x14ac:dyDescent="0.25">
      <c r="A817" s="48" t="s">
        <v>587</v>
      </c>
      <c r="B817" s="49">
        <v>2</v>
      </c>
      <c r="C817" s="5">
        <f t="shared" si="15"/>
        <v>4.9140049140049139E-3</v>
      </c>
    </row>
    <row r="818" spans="1:3" x14ac:dyDescent="0.25">
      <c r="A818" s="48" t="s">
        <v>588</v>
      </c>
      <c r="B818" s="49">
        <v>8</v>
      </c>
      <c r="C818" s="5">
        <f t="shared" si="15"/>
        <v>1.9656019656019656E-2</v>
      </c>
    </row>
    <row r="819" spans="1:3" x14ac:dyDescent="0.25">
      <c r="A819" s="48" t="s">
        <v>589</v>
      </c>
      <c r="B819" s="49">
        <v>2</v>
      </c>
      <c r="C819" s="5">
        <f t="shared" si="15"/>
        <v>4.9140049140049139E-3</v>
      </c>
    </row>
    <row r="820" spans="1:3" x14ac:dyDescent="0.25">
      <c r="A820" s="48" t="s">
        <v>590</v>
      </c>
      <c r="B820" s="49">
        <v>1</v>
      </c>
      <c r="C820" s="5">
        <f t="shared" si="15"/>
        <v>2.4570024570024569E-3</v>
      </c>
    </row>
    <row r="821" spans="1:3" x14ac:dyDescent="0.25">
      <c r="A821" s="48" t="s">
        <v>552</v>
      </c>
      <c r="B821" s="49">
        <v>13</v>
      </c>
      <c r="C821" s="5">
        <f t="shared" si="15"/>
        <v>3.1941031941031942E-2</v>
      </c>
    </row>
    <row r="822" spans="1:3" x14ac:dyDescent="0.25">
      <c r="A822" s="48" t="s">
        <v>553</v>
      </c>
      <c r="B822" s="49">
        <v>2</v>
      </c>
      <c r="C822" s="5">
        <f t="shared" si="15"/>
        <v>4.9140049140049139E-3</v>
      </c>
    </row>
    <row r="823" spans="1:3" x14ac:dyDescent="0.25">
      <c r="A823" s="48" t="s">
        <v>591</v>
      </c>
      <c r="B823" s="49">
        <v>2</v>
      </c>
      <c r="C823" s="5">
        <f t="shared" si="15"/>
        <v>4.9140049140049139E-3</v>
      </c>
    </row>
    <row r="824" spans="1:3" x14ac:dyDescent="0.25">
      <c r="A824" s="48" t="s">
        <v>592</v>
      </c>
      <c r="B824" s="49">
        <v>4</v>
      </c>
      <c r="C824" s="5">
        <f t="shared" si="15"/>
        <v>9.8280098280098278E-3</v>
      </c>
    </row>
    <row r="825" spans="1:3" x14ac:dyDescent="0.25">
      <c r="A825" s="48" t="s">
        <v>593</v>
      </c>
      <c r="B825" s="49">
        <v>2</v>
      </c>
      <c r="C825" s="5">
        <f t="shared" si="15"/>
        <v>4.9140049140049139E-3</v>
      </c>
    </row>
    <row r="826" spans="1:3" x14ac:dyDescent="0.25">
      <c r="A826" s="48" t="s">
        <v>594</v>
      </c>
      <c r="B826" s="49">
        <v>2</v>
      </c>
      <c r="C826" s="5">
        <f t="shared" si="15"/>
        <v>4.9140049140049139E-3</v>
      </c>
    </row>
    <row r="827" spans="1:3" x14ac:dyDescent="0.25">
      <c r="A827" s="48" t="s">
        <v>595</v>
      </c>
      <c r="B827" s="49">
        <v>5</v>
      </c>
      <c r="C827" s="5">
        <f t="shared" si="15"/>
        <v>1.2285012285012284E-2</v>
      </c>
    </row>
    <row r="828" spans="1:3" x14ac:dyDescent="0.25">
      <c r="A828" s="48" t="s">
        <v>596</v>
      </c>
      <c r="B828" s="49">
        <v>5</v>
      </c>
      <c r="C828" s="5">
        <f t="shared" si="15"/>
        <v>1.2285012285012284E-2</v>
      </c>
    </row>
    <row r="829" spans="1:3" x14ac:dyDescent="0.25">
      <c r="A829" s="48" t="s">
        <v>597</v>
      </c>
      <c r="B829" s="49">
        <v>2</v>
      </c>
      <c r="C829" s="5">
        <f t="shared" si="15"/>
        <v>4.9140049140049139E-3</v>
      </c>
    </row>
    <row r="830" spans="1:3" x14ac:dyDescent="0.25">
      <c r="A830" s="48" t="s">
        <v>598</v>
      </c>
      <c r="B830" s="49">
        <v>8</v>
      </c>
      <c r="C830" s="5">
        <f t="shared" si="15"/>
        <v>1.9656019656019656E-2</v>
      </c>
    </row>
    <row r="831" spans="1:3" x14ac:dyDescent="0.25">
      <c r="A831" s="48" t="s">
        <v>599</v>
      </c>
      <c r="B831" s="49">
        <v>3</v>
      </c>
      <c r="C831" s="5">
        <f t="shared" si="15"/>
        <v>7.3710073710073713E-3</v>
      </c>
    </row>
    <row r="832" spans="1:3" x14ac:dyDescent="0.25">
      <c r="A832" s="48" t="s">
        <v>600</v>
      </c>
      <c r="B832" s="49">
        <v>4</v>
      </c>
      <c r="C832" s="5">
        <f t="shared" si="15"/>
        <v>9.8280098280098278E-3</v>
      </c>
    </row>
    <row r="833" spans="1:3" x14ac:dyDescent="0.25">
      <c r="A833" s="48" t="s">
        <v>557</v>
      </c>
      <c r="B833" s="49">
        <v>3</v>
      </c>
      <c r="C833" s="5">
        <f t="shared" si="15"/>
        <v>7.3710073710073713E-3</v>
      </c>
    </row>
    <row r="834" spans="1:3" x14ac:dyDescent="0.25">
      <c r="A834" s="48" t="s">
        <v>601</v>
      </c>
      <c r="B834" s="49">
        <v>1</v>
      </c>
      <c r="C834" s="5">
        <f t="shared" si="15"/>
        <v>2.4570024570024569E-3</v>
      </c>
    </row>
    <row r="835" spans="1:3" x14ac:dyDescent="0.25">
      <c r="A835" s="48" t="s">
        <v>602</v>
      </c>
      <c r="B835" s="49">
        <v>2</v>
      </c>
      <c r="C835" s="5">
        <f t="shared" si="15"/>
        <v>4.9140049140049139E-3</v>
      </c>
    </row>
    <row r="836" spans="1:3" x14ac:dyDescent="0.25">
      <c r="A836" s="48" t="s">
        <v>603</v>
      </c>
      <c r="B836" s="49">
        <v>3</v>
      </c>
      <c r="C836" s="5">
        <f t="shared" si="15"/>
        <v>7.3710073710073713E-3</v>
      </c>
    </row>
    <row r="837" spans="1:3" x14ac:dyDescent="0.25">
      <c r="A837" s="48" t="s">
        <v>604</v>
      </c>
      <c r="B837" s="49">
        <v>1</v>
      </c>
      <c r="C837" s="5">
        <f t="shared" si="15"/>
        <v>2.4570024570024569E-3</v>
      </c>
    </row>
    <row r="838" spans="1:3" x14ac:dyDescent="0.25">
      <c r="A838" s="48" t="s">
        <v>605</v>
      </c>
      <c r="B838" s="49">
        <v>1</v>
      </c>
      <c r="C838" s="5">
        <f t="shared" si="15"/>
        <v>2.4570024570024569E-3</v>
      </c>
    </row>
    <row r="839" spans="1:3" x14ac:dyDescent="0.25">
      <c r="A839" s="48" t="s">
        <v>606</v>
      </c>
      <c r="B839" s="49">
        <v>5</v>
      </c>
      <c r="C839" s="5">
        <f t="shared" si="15"/>
        <v>1.2285012285012284E-2</v>
      </c>
    </row>
    <row r="840" spans="1:3" x14ac:dyDescent="0.25">
      <c r="A840" s="48" t="s">
        <v>141</v>
      </c>
      <c r="B840" s="49">
        <v>12</v>
      </c>
      <c r="C840" s="5">
        <f t="shared" si="15"/>
        <v>2.9484029484029485E-2</v>
      </c>
    </row>
    <row r="841" spans="1:3" x14ac:dyDescent="0.25">
      <c r="A841" s="48" t="s">
        <v>607</v>
      </c>
      <c r="B841" s="49">
        <v>3</v>
      </c>
      <c r="C841" s="5">
        <f t="shared" si="15"/>
        <v>7.3710073710073713E-3</v>
      </c>
    </row>
    <row r="842" spans="1:3" x14ac:dyDescent="0.25">
      <c r="A842" s="48" t="s">
        <v>608</v>
      </c>
      <c r="B842" s="49">
        <v>1</v>
      </c>
      <c r="C842" s="5">
        <f t="shared" si="15"/>
        <v>2.4570024570024569E-3</v>
      </c>
    </row>
    <row r="843" spans="1:3" x14ac:dyDescent="0.25">
      <c r="A843" s="48" t="s">
        <v>609</v>
      </c>
      <c r="B843" s="49">
        <v>1</v>
      </c>
      <c r="C843" s="5">
        <f t="shared" si="15"/>
        <v>2.4570024570024569E-3</v>
      </c>
    </row>
    <row r="844" spans="1:3" x14ac:dyDescent="0.25">
      <c r="A844" s="48" t="s">
        <v>610</v>
      </c>
      <c r="B844" s="49">
        <v>7</v>
      </c>
      <c r="C844" s="5">
        <f t="shared" si="15"/>
        <v>1.7199017199017199E-2</v>
      </c>
    </row>
    <row r="845" spans="1:3" x14ac:dyDescent="0.25">
      <c r="A845" s="48" t="s">
        <v>611</v>
      </c>
      <c r="B845" s="49">
        <v>6</v>
      </c>
      <c r="C845" s="5">
        <f t="shared" si="15"/>
        <v>1.4742014742014743E-2</v>
      </c>
    </row>
    <row r="846" spans="1:3" x14ac:dyDescent="0.25">
      <c r="A846" s="48" t="s">
        <v>612</v>
      </c>
      <c r="B846" s="49">
        <v>4</v>
      </c>
      <c r="C846" s="5">
        <f t="shared" si="15"/>
        <v>9.8280098280098278E-3</v>
      </c>
    </row>
    <row r="847" spans="1:3" x14ac:dyDescent="0.25">
      <c r="A847" s="48" t="s">
        <v>613</v>
      </c>
      <c r="B847" s="49">
        <v>2</v>
      </c>
      <c r="C847" s="5">
        <f t="shared" si="15"/>
        <v>4.9140049140049139E-3</v>
      </c>
    </row>
    <row r="848" spans="1:3" x14ac:dyDescent="0.25">
      <c r="A848" s="48" t="s">
        <v>614</v>
      </c>
      <c r="B848" s="49">
        <v>3</v>
      </c>
      <c r="C848" s="5">
        <f t="shared" si="15"/>
        <v>7.3710073710073713E-3</v>
      </c>
    </row>
    <row r="849" spans="1:3" x14ac:dyDescent="0.25">
      <c r="A849" s="48" t="s">
        <v>615</v>
      </c>
      <c r="B849" s="49">
        <v>1</v>
      </c>
      <c r="C849" s="5">
        <f t="shared" si="15"/>
        <v>2.4570024570024569E-3</v>
      </c>
    </row>
    <row r="850" spans="1:3" x14ac:dyDescent="0.25">
      <c r="A850" s="48" t="s">
        <v>616</v>
      </c>
      <c r="B850" s="49">
        <v>2</v>
      </c>
      <c r="C850" s="5">
        <f t="shared" si="15"/>
        <v>4.9140049140049139E-3</v>
      </c>
    </row>
    <row r="851" spans="1:3" x14ac:dyDescent="0.25">
      <c r="A851" s="48" t="s">
        <v>617</v>
      </c>
      <c r="B851" s="49">
        <v>3</v>
      </c>
      <c r="C851" s="5">
        <f t="shared" si="15"/>
        <v>7.3710073710073713E-3</v>
      </c>
    </row>
    <row r="852" spans="1:3" x14ac:dyDescent="0.25">
      <c r="A852" s="48" t="s">
        <v>618</v>
      </c>
      <c r="B852" s="49">
        <v>9</v>
      </c>
      <c r="C852" s="5">
        <f t="shared" si="15"/>
        <v>2.2113022113022112E-2</v>
      </c>
    </row>
    <row r="853" spans="1:3" x14ac:dyDescent="0.25">
      <c r="A853" s="48" t="s">
        <v>619</v>
      </c>
      <c r="B853" s="49">
        <v>5</v>
      </c>
      <c r="C853" s="5">
        <f t="shared" si="15"/>
        <v>1.2285012285012284E-2</v>
      </c>
    </row>
    <row r="854" spans="1:3" x14ac:dyDescent="0.25">
      <c r="A854" s="48" t="s">
        <v>620</v>
      </c>
      <c r="B854" s="49">
        <v>2</v>
      </c>
      <c r="C854" s="5">
        <f t="shared" si="15"/>
        <v>4.9140049140049139E-3</v>
      </c>
    </row>
    <row r="855" spans="1:3" x14ac:dyDescent="0.25">
      <c r="A855" s="48" t="s">
        <v>621</v>
      </c>
      <c r="B855" s="49">
        <v>2</v>
      </c>
      <c r="C855" s="5">
        <f t="shared" si="15"/>
        <v>4.9140049140049139E-3</v>
      </c>
    </row>
    <row r="856" spans="1:3" x14ac:dyDescent="0.25">
      <c r="A856" s="48" t="s">
        <v>622</v>
      </c>
      <c r="B856" s="49">
        <v>1</v>
      </c>
      <c r="C856" s="5">
        <f t="shared" si="15"/>
        <v>2.4570024570024569E-3</v>
      </c>
    </row>
    <row r="857" spans="1:3" x14ac:dyDescent="0.25">
      <c r="A857" s="48" t="s">
        <v>623</v>
      </c>
      <c r="B857" s="49">
        <v>2</v>
      </c>
      <c r="C857" s="5">
        <f t="shared" si="15"/>
        <v>4.9140049140049139E-3</v>
      </c>
    </row>
    <row r="858" spans="1:3" x14ac:dyDescent="0.25">
      <c r="A858" s="48" t="s">
        <v>515</v>
      </c>
      <c r="B858" s="49">
        <v>193</v>
      </c>
      <c r="C858" s="5">
        <f t="shared" si="15"/>
        <v>0.47420147420147418</v>
      </c>
    </row>
    <row r="859" spans="1:3" x14ac:dyDescent="0.25">
      <c r="A859" s="48" t="s">
        <v>53</v>
      </c>
      <c r="B859" s="49">
        <v>407</v>
      </c>
      <c r="C859" s="5">
        <f t="shared" si="15"/>
        <v>1</v>
      </c>
    </row>
    <row r="862" spans="1:3" ht="30" x14ac:dyDescent="0.25">
      <c r="A862" s="50" t="s">
        <v>624</v>
      </c>
    </row>
    <row r="864" spans="1:3" x14ac:dyDescent="0.25">
      <c r="A864" s="46"/>
      <c r="B864" s="47" t="s">
        <v>10</v>
      </c>
      <c r="C864" s="58" t="s">
        <v>78</v>
      </c>
    </row>
    <row r="865" spans="1:3" x14ac:dyDescent="0.25">
      <c r="A865" s="48" t="s">
        <v>569</v>
      </c>
      <c r="B865" s="49">
        <v>3</v>
      </c>
      <c r="C865" s="5">
        <f>B865/407</f>
        <v>7.3710073710073713E-3</v>
      </c>
    </row>
    <row r="866" spans="1:3" x14ac:dyDescent="0.25">
      <c r="A866" s="48" t="s">
        <v>544</v>
      </c>
      <c r="B866" s="49">
        <v>3</v>
      </c>
      <c r="C866" s="5">
        <f t="shared" ref="C866:C923" si="16">B866/407</f>
        <v>7.3710073710073713E-3</v>
      </c>
    </row>
    <row r="867" spans="1:3" x14ac:dyDescent="0.25">
      <c r="A867" s="48" t="s">
        <v>573</v>
      </c>
      <c r="B867" s="49">
        <v>1</v>
      </c>
      <c r="C867" s="5">
        <f t="shared" si="16"/>
        <v>2.4570024570024569E-3</v>
      </c>
    </row>
    <row r="868" spans="1:3" x14ac:dyDescent="0.25">
      <c r="A868" s="48" t="s">
        <v>574</v>
      </c>
      <c r="B868" s="49">
        <v>11</v>
      </c>
      <c r="C868" s="5">
        <f t="shared" si="16"/>
        <v>2.7027027027027029E-2</v>
      </c>
    </row>
    <row r="869" spans="1:3" x14ac:dyDescent="0.25">
      <c r="A869" s="48" t="s">
        <v>575</v>
      </c>
      <c r="B869" s="49">
        <v>1</v>
      </c>
      <c r="C869" s="5">
        <f t="shared" si="16"/>
        <v>2.4570024570024569E-3</v>
      </c>
    </row>
    <row r="870" spans="1:3" x14ac:dyDescent="0.25">
      <c r="A870" s="48" t="s">
        <v>625</v>
      </c>
      <c r="B870" s="49">
        <v>7</v>
      </c>
      <c r="C870" s="5">
        <f t="shared" si="16"/>
        <v>1.7199017199017199E-2</v>
      </c>
    </row>
    <row r="871" spans="1:3" x14ac:dyDescent="0.25">
      <c r="A871" s="48" t="s">
        <v>577</v>
      </c>
      <c r="B871" s="49">
        <v>3</v>
      </c>
      <c r="C871" s="5">
        <f t="shared" si="16"/>
        <v>7.3710073710073713E-3</v>
      </c>
    </row>
    <row r="872" spans="1:3" x14ac:dyDescent="0.25">
      <c r="A872" s="48" t="s">
        <v>578</v>
      </c>
      <c r="B872" s="49">
        <v>6</v>
      </c>
      <c r="C872" s="5">
        <f t="shared" si="16"/>
        <v>1.4742014742014743E-2</v>
      </c>
    </row>
    <row r="873" spans="1:3" x14ac:dyDescent="0.25">
      <c r="A873" s="48" t="s">
        <v>579</v>
      </c>
      <c r="B873" s="49">
        <v>10</v>
      </c>
      <c r="C873" s="5">
        <f t="shared" si="16"/>
        <v>2.4570024570024569E-2</v>
      </c>
    </row>
    <row r="874" spans="1:3" x14ac:dyDescent="0.25">
      <c r="A874" s="48" t="s">
        <v>626</v>
      </c>
      <c r="B874" s="49">
        <v>5</v>
      </c>
      <c r="C874" s="5">
        <f t="shared" si="16"/>
        <v>1.2285012285012284E-2</v>
      </c>
    </row>
    <row r="875" spans="1:3" x14ac:dyDescent="0.25">
      <c r="A875" s="48" t="s">
        <v>627</v>
      </c>
      <c r="B875" s="49">
        <v>1</v>
      </c>
      <c r="C875" s="5">
        <f t="shared" si="16"/>
        <v>2.4570024570024569E-3</v>
      </c>
    </row>
    <row r="876" spans="1:3" x14ac:dyDescent="0.25">
      <c r="A876" s="48" t="s">
        <v>581</v>
      </c>
      <c r="B876" s="49">
        <v>8</v>
      </c>
      <c r="C876" s="5">
        <f t="shared" si="16"/>
        <v>1.9656019656019656E-2</v>
      </c>
    </row>
    <row r="877" spans="1:3" x14ac:dyDescent="0.25">
      <c r="A877" s="48" t="s">
        <v>628</v>
      </c>
      <c r="B877" s="49">
        <v>1</v>
      </c>
      <c r="C877" s="5">
        <f t="shared" si="16"/>
        <v>2.4570024570024569E-3</v>
      </c>
    </row>
    <row r="878" spans="1:3" x14ac:dyDescent="0.25">
      <c r="A878" s="48" t="s">
        <v>583</v>
      </c>
      <c r="B878" s="49">
        <v>6</v>
      </c>
      <c r="C878" s="5">
        <f t="shared" si="16"/>
        <v>1.4742014742014743E-2</v>
      </c>
    </row>
    <row r="879" spans="1:3" x14ac:dyDescent="0.25">
      <c r="A879" s="48" t="s">
        <v>584</v>
      </c>
      <c r="B879" s="49">
        <v>1</v>
      </c>
      <c r="C879" s="5">
        <f t="shared" si="16"/>
        <v>2.4570024570024569E-3</v>
      </c>
    </row>
    <row r="880" spans="1:3" x14ac:dyDescent="0.25">
      <c r="A880" s="48" t="s">
        <v>585</v>
      </c>
      <c r="B880" s="49">
        <v>4</v>
      </c>
      <c r="C880" s="5">
        <f t="shared" si="16"/>
        <v>9.8280098280098278E-3</v>
      </c>
    </row>
    <row r="881" spans="1:3" x14ac:dyDescent="0.25">
      <c r="A881" s="48" t="s">
        <v>587</v>
      </c>
      <c r="B881" s="49">
        <v>3</v>
      </c>
      <c r="C881" s="5">
        <f t="shared" si="16"/>
        <v>7.3710073710073713E-3</v>
      </c>
    </row>
    <row r="882" spans="1:3" x14ac:dyDescent="0.25">
      <c r="A882" s="48" t="s">
        <v>588</v>
      </c>
      <c r="B882" s="49">
        <v>4</v>
      </c>
      <c r="C882" s="5">
        <f t="shared" si="16"/>
        <v>9.8280098280098278E-3</v>
      </c>
    </row>
    <row r="883" spans="1:3" x14ac:dyDescent="0.25">
      <c r="A883" s="48" t="s">
        <v>590</v>
      </c>
      <c r="B883" s="49">
        <v>1</v>
      </c>
      <c r="C883" s="5">
        <f t="shared" si="16"/>
        <v>2.4570024570024569E-3</v>
      </c>
    </row>
    <row r="884" spans="1:3" x14ac:dyDescent="0.25">
      <c r="A884" s="48" t="s">
        <v>629</v>
      </c>
      <c r="B884" s="49">
        <v>1</v>
      </c>
      <c r="C884" s="5">
        <f t="shared" si="16"/>
        <v>2.4570024570024569E-3</v>
      </c>
    </row>
    <row r="885" spans="1:3" x14ac:dyDescent="0.25">
      <c r="A885" s="48" t="s">
        <v>552</v>
      </c>
      <c r="B885" s="49">
        <v>13</v>
      </c>
      <c r="C885" s="5">
        <f t="shared" si="16"/>
        <v>3.1941031941031942E-2</v>
      </c>
    </row>
    <row r="886" spans="1:3" x14ac:dyDescent="0.25">
      <c r="A886" s="48" t="s">
        <v>591</v>
      </c>
      <c r="B886" s="49">
        <v>3</v>
      </c>
      <c r="C886" s="5">
        <f t="shared" si="16"/>
        <v>7.3710073710073713E-3</v>
      </c>
    </row>
    <row r="887" spans="1:3" x14ac:dyDescent="0.25">
      <c r="A887" s="48" t="s">
        <v>592</v>
      </c>
      <c r="B887" s="49">
        <v>3</v>
      </c>
      <c r="C887" s="5">
        <f t="shared" si="16"/>
        <v>7.3710073710073713E-3</v>
      </c>
    </row>
    <row r="888" spans="1:3" x14ac:dyDescent="0.25">
      <c r="A888" s="48" t="s">
        <v>554</v>
      </c>
      <c r="B888" s="49">
        <v>3</v>
      </c>
      <c r="C888" s="5">
        <f t="shared" si="16"/>
        <v>7.3710073710073713E-3</v>
      </c>
    </row>
    <row r="889" spans="1:3" x14ac:dyDescent="0.25">
      <c r="A889" s="48" t="s">
        <v>595</v>
      </c>
      <c r="B889" s="49">
        <v>3</v>
      </c>
      <c r="C889" s="5">
        <f t="shared" si="16"/>
        <v>7.3710073710073713E-3</v>
      </c>
    </row>
    <row r="890" spans="1:3" x14ac:dyDescent="0.25">
      <c r="A890" s="48" t="s">
        <v>596</v>
      </c>
      <c r="B890" s="49">
        <v>5</v>
      </c>
      <c r="C890" s="5">
        <f t="shared" si="16"/>
        <v>1.2285012285012284E-2</v>
      </c>
    </row>
    <row r="891" spans="1:3" x14ac:dyDescent="0.25">
      <c r="A891" s="48" t="s">
        <v>597</v>
      </c>
      <c r="B891" s="49">
        <v>1</v>
      </c>
      <c r="C891" s="5">
        <f t="shared" si="16"/>
        <v>2.4570024570024569E-3</v>
      </c>
    </row>
    <row r="892" spans="1:3" x14ac:dyDescent="0.25">
      <c r="A892" s="48" t="s">
        <v>630</v>
      </c>
      <c r="B892" s="49">
        <v>1</v>
      </c>
      <c r="C892" s="5">
        <f t="shared" si="16"/>
        <v>2.4570024570024569E-3</v>
      </c>
    </row>
    <row r="893" spans="1:3" x14ac:dyDescent="0.25">
      <c r="A893" s="48" t="s">
        <v>598</v>
      </c>
      <c r="B893" s="49">
        <v>9</v>
      </c>
      <c r="C893" s="5">
        <f t="shared" si="16"/>
        <v>2.2113022113022112E-2</v>
      </c>
    </row>
    <row r="894" spans="1:3" x14ac:dyDescent="0.25">
      <c r="A894" s="48" t="s">
        <v>599</v>
      </c>
      <c r="B894" s="49">
        <v>5</v>
      </c>
      <c r="C894" s="5">
        <f t="shared" si="16"/>
        <v>1.2285012285012284E-2</v>
      </c>
    </row>
    <row r="895" spans="1:3" x14ac:dyDescent="0.25">
      <c r="A895" s="48" t="s">
        <v>600</v>
      </c>
      <c r="B895" s="49">
        <v>1</v>
      </c>
      <c r="C895" s="5">
        <f t="shared" si="16"/>
        <v>2.4570024570024569E-3</v>
      </c>
    </row>
    <row r="896" spans="1:3" x14ac:dyDescent="0.25">
      <c r="A896" s="48" t="s">
        <v>631</v>
      </c>
      <c r="B896" s="49">
        <v>1</v>
      </c>
      <c r="C896" s="5">
        <f t="shared" si="16"/>
        <v>2.4570024570024569E-3</v>
      </c>
    </row>
    <row r="897" spans="1:3" x14ac:dyDescent="0.25">
      <c r="A897" s="48" t="s">
        <v>557</v>
      </c>
      <c r="B897" s="49">
        <v>3</v>
      </c>
      <c r="C897" s="5">
        <f t="shared" si="16"/>
        <v>7.3710073710073713E-3</v>
      </c>
    </row>
    <row r="898" spans="1:3" x14ac:dyDescent="0.25">
      <c r="A898" s="48" t="s">
        <v>602</v>
      </c>
      <c r="B898" s="49">
        <v>3</v>
      </c>
      <c r="C898" s="5">
        <f t="shared" si="16"/>
        <v>7.3710073710073713E-3</v>
      </c>
    </row>
    <row r="899" spans="1:3" x14ac:dyDescent="0.25">
      <c r="A899" s="48" t="s">
        <v>603</v>
      </c>
      <c r="B899" s="49">
        <v>6</v>
      </c>
      <c r="C899" s="5">
        <f t="shared" si="16"/>
        <v>1.4742014742014743E-2</v>
      </c>
    </row>
    <row r="900" spans="1:3" x14ac:dyDescent="0.25">
      <c r="A900" s="48" t="s">
        <v>604</v>
      </c>
      <c r="B900" s="49">
        <v>1</v>
      </c>
      <c r="C900" s="5">
        <f t="shared" si="16"/>
        <v>2.4570024570024569E-3</v>
      </c>
    </row>
    <row r="901" spans="1:3" x14ac:dyDescent="0.25">
      <c r="A901" s="48" t="s">
        <v>566</v>
      </c>
      <c r="B901" s="49">
        <v>1</v>
      </c>
      <c r="C901" s="5">
        <f t="shared" si="16"/>
        <v>2.4570024570024569E-3</v>
      </c>
    </row>
    <row r="902" spans="1:3" x14ac:dyDescent="0.25">
      <c r="A902" s="48" t="s">
        <v>606</v>
      </c>
      <c r="B902" s="49">
        <v>6</v>
      </c>
      <c r="C902" s="5">
        <f t="shared" si="16"/>
        <v>1.4742014742014743E-2</v>
      </c>
    </row>
    <row r="903" spans="1:3" x14ac:dyDescent="0.25">
      <c r="A903" s="48" t="s">
        <v>141</v>
      </c>
      <c r="B903" s="49">
        <v>17</v>
      </c>
      <c r="C903" s="5">
        <f t="shared" si="16"/>
        <v>4.1769041769041768E-2</v>
      </c>
    </row>
    <row r="904" spans="1:3" x14ac:dyDescent="0.25">
      <c r="A904" s="48" t="s">
        <v>632</v>
      </c>
      <c r="B904" s="49">
        <v>1</v>
      </c>
      <c r="C904" s="5">
        <f t="shared" si="16"/>
        <v>2.4570024570024569E-3</v>
      </c>
    </row>
    <row r="905" spans="1:3" x14ac:dyDescent="0.25">
      <c r="A905" s="48" t="s">
        <v>607</v>
      </c>
      <c r="B905" s="49">
        <v>2</v>
      </c>
      <c r="C905" s="5">
        <f t="shared" si="16"/>
        <v>4.9140049140049139E-3</v>
      </c>
    </row>
    <row r="906" spans="1:3" x14ac:dyDescent="0.25">
      <c r="A906" s="48" t="s">
        <v>633</v>
      </c>
      <c r="B906" s="49">
        <v>1</v>
      </c>
      <c r="C906" s="5">
        <f t="shared" si="16"/>
        <v>2.4570024570024569E-3</v>
      </c>
    </row>
    <row r="907" spans="1:3" x14ac:dyDescent="0.25">
      <c r="A907" s="48" t="s">
        <v>608</v>
      </c>
      <c r="B907" s="49">
        <v>1</v>
      </c>
      <c r="C907" s="5">
        <f t="shared" si="16"/>
        <v>2.4570024570024569E-3</v>
      </c>
    </row>
    <row r="908" spans="1:3" x14ac:dyDescent="0.25">
      <c r="A908" s="48" t="s">
        <v>610</v>
      </c>
      <c r="B908" s="49">
        <v>6</v>
      </c>
      <c r="C908" s="5">
        <f t="shared" si="16"/>
        <v>1.4742014742014743E-2</v>
      </c>
    </row>
    <row r="909" spans="1:3" x14ac:dyDescent="0.25">
      <c r="A909" s="48" t="s">
        <v>611</v>
      </c>
      <c r="B909" s="49">
        <v>2</v>
      </c>
      <c r="C909" s="5">
        <f t="shared" si="16"/>
        <v>4.9140049140049139E-3</v>
      </c>
    </row>
    <row r="910" spans="1:3" x14ac:dyDescent="0.25">
      <c r="A910" s="48" t="s">
        <v>612</v>
      </c>
      <c r="B910" s="49">
        <v>3</v>
      </c>
      <c r="C910" s="5">
        <f t="shared" si="16"/>
        <v>7.3710073710073713E-3</v>
      </c>
    </row>
    <row r="911" spans="1:3" x14ac:dyDescent="0.25">
      <c r="A911" s="48" t="s">
        <v>613</v>
      </c>
      <c r="B911" s="49">
        <v>2</v>
      </c>
      <c r="C911" s="5">
        <f t="shared" si="16"/>
        <v>4.9140049140049139E-3</v>
      </c>
    </row>
    <row r="912" spans="1:3" x14ac:dyDescent="0.25">
      <c r="A912" s="48" t="s">
        <v>614</v>
      </c>
      <c r="B912" s="49">
        <v>3</v>
      </c>
      <c r="C912" s="5">
        <f t="shared" si="16"/>
        <v>7.3710073710073713E-3</v>
      </c>
    </row>
    <row r="913" spans="1:3" x14ac:dyDescent="0.25">
      <c r="A913" s="48" t="s">
        <v>615</v>
      </c>
      <c r="B913" s="49">
        <v>2</v>
      </c>
      <c r="C913" s="5">
        <f t="shared" si="16"/>
        <v>4.9140049140049139E-3</v>
      </c>
    </row>
    <row r="914" spans="1:3" x14ac:dyDescent="0.25">
      <c r="A914" s="48" t="s">
        <v>567</v>
      </c>
      <c r="B914" s="49">
        <v>1</v>
      </c>
      <c r="C914" s="5">
        <f t="shared" si="16"/>
        <v>2.4570024570024569E-3</v>
      </c>
    </row>
    <row r="915" spans="1:3" x14ac:dyDescent="0.25">
      <c r="A915" s="48" t="s">
        <v>617</v>
      </c>
      <c r="B915" s="49">
        <v>4</v>
      </c>
      <c r="C915" s="5">
        <f t="shared" si="16"/>
        <v>9.8280098280098278E-3</v>
      </c>
    </row>
    <row r="916" spans="1:3" x14ac:dyDescent="0.25">
      <c r="A916" s="48" t="s">
        <v>634</v>
      </c>
      <c r="B916" s="49">
        <v>1</v>
      </c>
      <c r="C916" s="5">
        <f t="shared" si="16"/>
        <v>2.4570024570024569E-3</v>
      </c>
    </row>
    <row r="917" spans="1:3" x14ac:dyDescent="0.25">
      <c r="A917" s="48" t="s">
        <v>618</v>
      </c>
      <c r="B917" s="49">
        <v>9</v>
      </c>
      <c r="C917" s="5">
        <f t="shared" si="16"/>
        <v>2.2113022113022112E-2</v>
      </c>
    </row>
    <row r="918" spans="1:3" x14ac:dyDescent="0.25">
      <c r="A918" s="48" t="s">
        <v>619</v>
      </c>
      <c r="B918" s="49">
        <v>6</v>
      </c>
      <c r="C918" s="5">
        <f t="shared" si="16"/>
        <v>1.4742014742014743E-2</v>
      </c>
    </row>
    <row r="919" spans="1:3" x14ac:dyDescent="0.25">
      <c r="A919" s="48" t="s">
        <v>635</v>
      </c>
      <c r="B919" s="49">
        <v>1</v>
      </c>
      <c r="C919" s="5">
        <f t="shared" si="16"/>
        <v>2.4570024570024569E-3</v>
      </c>
    </row>
    <row r="920" spans="1:3" x14ac:dyDescent="0.25">
      <c r="A920" s="48" t="s">
        <v>621</v>
      </c>
      <c r="B920" s="49">
        <v>1</v>
      </c>
      <c r="C920" s="5">
        <f t="shared" si="16"/>
        <v>2.4570024570024569E-3</v>
      </c>
    </row>
    <row r="921" spans="1:3" x14ac:dyDescent="0.25">
      <c r="A921" s="48" t="s">
        <v>622</v>
      </c>
      <c r="B921" s="49">
        <v>1</v>
      </c>
      <c r="C921" s="5">
        <f t="shared" si="16"/>
        <v>2.4570024570024569E-3</v>
      </c>
    </row>
    <row r="922" spans="1:3" x14ac:dyDescent="0.25">
      <c r="A922" s="48" t="s">
        <v>515</v>
      </c>
      <c r="B922" s="49">
        <v>195</v>
      </c>
      <c r="C922" s="5">
        <f t="shared" si="16"/>
        <v>0.47911547911547914</v>
      </c>
    </row>
    <row r="923" spans="1:3" x14ac:dyDescent="0.25">
      <c r="A923" s="48" t="s">
        <v>53</v>
      </c>
      <c r="B923" s="49">
        <v>407</v>
      </c>
      <c r="C923" s="5">
        <f t="shared" si="16"/>
        <v>1</v>
      </c>
    </row>
    <row r="926" spans="1:3" x14ac:dyDescent="0.25">
      <c r="A926" s="3" t="s">
        <v>636</v>
      </c>
    </row>
    <row r="927" spans="1:3" x14ac:dyDescent="0.25">
      <c r="A927" s="35"/>
      <c r="B927" s="35"/>
      <c r="C927" s="86"/>
    </row>
    <row r="928" spans="1:3" x14ac:dyDescent="0.25">
      <c r="A928" s="42"/>
      <c r="B928" s="43" t="s">
        <v>10</v>
      </c>
      <c r="C928" s="84" t="s">
        <v>78</v>
      </c>
    </row>
    <row r="929" spans="1:4" x14ac:dyDescent="0.25">
      <c r="A929" s="37" t="s">
        <v>637</v>
      </c>
      <c r="B929" s="38">
        <v>2</v>
      </c>
      <c r="C929" s="25">
        <f>B929/407</f>
        <v>4.9140049140049139E-3</v>
      </c>
    </row>
    <row r="930" spans="1:4" x14ac:dyDescent="0.25">
      <c r="A930" s="37" t="s">
        <v>638</v>
      </c>
      <c r="B930" s="38">
        <v>4</v>
      </c>
      <c r="C930" s="25">
        <f t="shared" ref="C930:C937" si="17">B930/407</f>
        <v>9.8280098280098278E-3</v>
      </c>
    </row>
    <row r="931" spans="1:4" x14ac:dyDescent="0.25">
      <c r="A931" s="37" t="s">
        <v>639</v>
      </c>
      <c r="B931" s="38">
        <v>51</v>
      </c>
      <c r="C931" s="25">
        <f t="shared" si="17"/>
        <v>0.12530712530712532</v>
      </c>
    </row>
    <row r="932" spans="1:4" x14ac:dyDescent="0.25">
      <c r="A932" s="37" t="s">
        <v>141</v>
      </c>
      <c r="B932" s="38">
        <v>3</v>
      </c>
      <c r="C932" s="25">
        <f t="shared" si="17"/>
        <v>7.3710073710073713E-3</v>
      </c>
    </row>
    <row r="933" spans="1:4" x14ac:dyDescent="0.25">
      <c r="A933" s="37" t="s">
        <v>640</v>
      </c>
      <c r="B933" s="38">
        <v>139</v>
      </c>
      <c r="C933" s="25">
        <f t="shared" si="17"/>
        <v>0.34152334152334152</v>
      </c>
    </row>
    <row r="934" spans="1:4" x14ac:dyDescent="0.25">
      <c r="A934" s="37" t="s">
        <v>641</v>
      </c>
      <c r="B934" s="38">
        <v>12</v>
      </c>
      <c r="C934" s="25">
        <f t="shared" si="17"/>
        <v>2.9484029484029485E-2</v>
      </c>
    </row>
    <row r="935" spans="1:4" x14ac:dyDescent="0.25">
      <c r="A935" s="37" t="s">
        <v>642</v>
      </c>
      <c r="B935" s="38">
        <v>16</v>
      </c>
      <c r="C935" s="25">
        <f t="shared" si="17"/>
        <v>3.9312039312039311E-2</v>
      </c>
    </row>
    <row r="936" spans="1:4" x14ac:dyDescent="0.25">
      <c r="A936" s="37" t="s">
        <v>515</v>
      </c>
      <c r="B936" s="38">
        <v>180</v>
      </c>
      <c r="C936" s="25">
        <f t="shared" si="17"/>
        <v>0.44226044226044225</v>
      </c>
    </row>
    <row r="937" spans="1:4" x14ac:dyDescent="0.25">
      <c r="A937" s="37" t="s">
        <v>53</v>
      </c>
      <c r="B937" s="38">
        <v>407</v>
      </c>
      <c r="C937" s="25">
        <f t="shared" si="17"/>
        <v>1</v>
      </c>
    </row>
    <row r="940" spans="1:4" x14ac:dyDescent="0.25">
      <c r="A940" s="3" t="s">
        <v>643</v>
      </c>
    </row>
    <row r="941" spans="1:4" x14ac:dyDescent="0.25">
      <c r="A941" s="35"/>
      <c r="B941" s="35"/>
      <c r="C941" s="35"/>
      <c r="D941" s="86"/>
    </row>
    <row r="942" spans="1:4" x14ac:dyDescent="0.25">
      <c r="A942" s="42"/>
      <c r="B942" s="43" t="s">
        <v>10</v>
      </c>
      <c r="C942" s="43" t="s">
        <v>78</v>
      </c>
      <c r="D942" s="86"/>
    </row>
    <row r="943" spans="1:4" x14ac:dyDescent="0.25">
      <c r="A943" s="37" t="s">
        <v>639</v>
      </c>
      <c r="B943" s="38">
        <v>3</v>
      </c>
      <c r="C943" s="87">
        <f>B943/407</f>
        <v>7.3710073710073713E-3</v>
      </c>
      <c r="D943" s="86"/>
    </row>
    <row r="944" spans="1:4" x14ac:dyDescent="0.25">
      <c r="A944" s="37" t="s">
        <v>275</v>
      </c>
      <c r="B944" s="38">
        <v>206</v>
      </c>
      <c r="C944" s="87">
        <f t="shared" ref="C944:C949" si="18">B944/407</f>
        <v>0.50614250614250611</v>
      </c>
      <c r="D944" s="86"/>
    </row>
    <row r="945" spans="1:4" x14ac:dyDescent="0.25">
      <c r="A945" s="37" t="s">
        <v>141</v>
      </c>
      <c r="B945" s="38">
        <v>1</v>
      </c>
      <c r="C945" s="87">
        <f t="shared" si="18"/>
        <v>2.4570024570024569E-3</v>
      </c>
      <c r="D945" s="86"/>
    </row>
    <row r="946" spans="1:4" x14ac:dyDescent="0.25">
      <c r="A946" s="37" t="s">
        <v>640</v>
      </c>
      <c r="B946" s="38">
        <v>9</v>
      </c>
      <c r="C946" s="87">
        <f t="shared" si="18"/>
        <v>2.2113022113022112E-2</v>
      </c>
      <c r="D946" s="86"/>
    </row>
    <row r="947" spans="1:4" x14ac:dyDescent="0.25">
      <c r="A947" s="37" t="s">
        <v>641</v>
      </c>
      <c r="B947" s="38">
        <v>1</v>
      </c>
      <c r="C947" s="87">
        <f t="shared" si="18"/>
        <v>2.4570024570024569E-3</v>
      </c>
      <c r="D947" s="86"/>
    </row>
    <row r="948" spans="1:4" x14ac:dyDescent="0.25">
      <c r="A948" s="37" t="s">
        <v>515</v>
      </c>
      <c r="B948" s="38">
        <v>187</v>
      </c>
      <c r="C948" s="87">
        <f t="shared" si="18"/>
        <v>0.45945945945945948</v>
      </c>
      <c r="D948" s="86"/>
    </row>
    <row r="949" spans="1:4" x14ac:dyDescent="0.25">
      <c r="A949" s="37" t="s">
        <v>53</v>
      </c>
      <c r="B949" s="38">
        <v>407</v>
      </c>
      <c r="C949" s="87">
        <f t="shared" si="18"/>
        <v>1</v>
      </c>
      <c r="D949" s="86"/>
    </row>
    <row r="952" spans="1:4" x14ac:dyDescent="0.25">
      <c r="A952" s="51" t="s">
        <v>644</v>
      </c>
    </row>
    <row r="954" spans="1:4" x14ac:dyDescent="0.25">
      <c r="A954" s="58"/>
      <c r="B954" s="58" t="s">
        <v>105</v>
      </c>
      <c r="C954" s="58" t="s">
        <v>106</v>
      </c>
    </row>
    <row r="955" spans="1:4" x14ac:dyDescent="0.25">
      <c r="A955" s="58" t="s">
        <v>645</v>
      </c>
      <c r="B955" s="5">
        <v>3.1941031941031942E-2</v>
      </c>
      <c r="C955" s="5">
        <v>0.96805896805896807</v>
      </c>
    </row>
    <row r="956" spans="1:4" x14ac:dyDescent="0.25">
      <c r="A956" s="58" t="s">
        <v>646</v>
      </c>
      <c r="B956" s="5">
        <v>1.2285012285012284E-2</v>
      </c>
      <c r="C956" s="5">
        <v>0.98771498771498767</v>
      </c>
    </row>
    <row r="957" spans="1:4" x14ac:dyDescent="0.25">
      <c r="A957" s="58" t="s">
        <v>647</v>
      </c>
      <c r="B957" s="5">
        <v>0</v>
      </c>
      <c r="C957" s="5">
        <v>1</v>
      </c>
    </row>
    <row r="958" spans="1:4" x14ac:dyDescent="0.25">
      <c r="A958" s="58" t="s">
        <v>648</v>
      </c>
      <c r="B958" s="5">
        <v>0</v>
      </c>
      <c r="C958" s="5">
        <v>1</v>
      </c>
    </row>
    <row r="959" spans="1:4" x14ac:dyDescent="0.25">
      <c r="A959" s="58" t="s">
        <v>649</v>
      </c>
      <c r="B959" s="5">
        <v>0</v>
      </c>
      <c r="C959" s="5">
        <v>1</v>
      </c>
    </row>
    <row r="960" spans="1:4" x14ac:dyDescent="0.25">
      <c r="A960" s="58" t="s">
        <v>141</v>
      </c>
      <c r="B960" s="5">
        <v>6.3882063882063883E-2</v>
      </c>
      <c r="C960" s="5">
        <v>0.93611793611793614</v>
      </c>
    </row>
    <row r="961" spans="1:6" x14ac:dyDescent="0.25">
      <c r="A961" s="58" t="s">
        <v>468</v>
      </c>
      <c r="B961" s="5">
        <v>0.42997542997542998</v>
      </c>
      <c r="C961" s="5">
        <v>0.57002457002457008</v>
      </c>
    </row>
    <row r="964" spans="1:6" x14ac:dyDescent="0.25">
      <c r="A964" s="3" t="s">
        <v>651</v>
      </c>
    </row>
    <row r="966" spans="1:6" x14ac:dyDescent="0.25">
      <c r="A966" s="17" t="s">
        <v>652</v>
      </c>
    </row>
    <row r="968" spans="1:6" x14ac:dyDescent="0.25">
      <c r="A968" s="5"/>
      <c r="B968" s="5" t="s">
        <v>659</v>
      </c>
      <c r="C968" s="5" t="s">
        <v>660</v>
      </c>
      <c r="D968" s="5" t="s">
        <v>661</v>
      </c>
      <c r="E968" s="5" t="s">
        <v>662</v>
      </c>
      <c r="F968" s="5" t="s">
        <v>663</v>
      </c>
    </row>
    <row r="969" spans="1:6" x14ac:dyDescent="0.25">
      <c r="A969" s="29" t="s">
        <v>653</v>
      </c>
      <c r="B969" s="5">
        <v>0.47867298578199052</v>
      </c>
      <c r="C969" s="5">
        <v>0.34123222748815168</v>
      </c>
      <c r="D969" s="5">
        <v>0.16113744075829384</v>
      </c>
      <c r="E969" s="5">
        <v>9.4786729857819912E-3</v>
      </c>
      <c r="F969" s="5">
        <v>9.4786729857819912E-3</v>
      </c>
    </row>
    <row r="970" spans="1:6" ht="30" x14ac:dyDescent="0.25">
      <c r="A970" s="29" t="s">
        <v>654</v>
      </c>
      <c r="B970" s="5">
        <v>0.22488038277511962</v>
      </c>
      <c r="C970" s="5">
        <v>0.43062200956937802</v>
      </c>
      <c r="D970" s="5">
        <v>0.31578947368421051</v>
      </c>
      <c r="E970" s="5">
        <v>1.4354066985645933E-2</v>
      </c>
      <c r="F970" s="5">
        <v>1.4354066985645933E-2</v>
      </c>
    </row>
    <row r="971" spans="1:6" ht="30" x14ac:dyDescent="0.25">
      <c r="A971" s="29" t="s">
        <v>655</v>
      </c>
      <c r="B971" s="5">
        <v>0.3619047619047619</v>
      </c>
      <c r="C971" s="5">
        <v>0.40476190476190477</v>
      </c>
      <c r="D971" s="5">
        <v>0.21428571428571427</v>
      </c>
      <c r="E971" s="5">
        <v>9.5238095238095247E-3</v>
      </c>
      <c r="F971" s="5">
        <v>9.5238095238095247E-3</v>
      </c>
    </row>
    <row r="972" spans="1:6" x14ac:dyDescent="0.25">
      <c r="A972" s="29" t="s">
        <v>656</v>
      </c>
      <c r="B972" s="5">
        <v>0.45933014354066987</v>
      </c>
      <c r="C972" s="5">
        <v>0.36363636363636365</v>
      </c>
      <c r="D972" s="5">
        <v>0.16267942583732056</v>
      </c>
      <c r="E972" s="5">
        <v>4.7846889952153108E-3</v>
      </c>
      <c r="F972" s="5">
        <v>9.5693779904306216E-3</v>
      </c>
    </row>
    <row r="973" spans="1:6" x14ac:dyDescent="0.25">
      <c r="A973" s="29" t="s">
        <v>657</v>
      </c>
      <c r="B973" s="5">
        <v>0.24401913875598086</v>
      </c>
      <c r="C973" s="5">
        <v>0.38277511961722488</v>
      </c>
      <c r="D973" s="5">
        <v>0.30143540669856461</v>
      </c>
      <c r="E973" s="5">
        <v>4.784688995215311E-2</v>
      </c>
      <c r="F973" s="5">
        <v>2.3923444976076555E-2</v>
      </c>
    </row>
    <row r="974" spans="1:6" ht="30" x14ac:dyDescent="0.25">
      <c r="A974" s="29" t="s">
        <v>658</v>
      </c>
      <c r="B974" s="5">
        <v>0.14354066985645933</v>
      </c>
      <c r="C974" s="5">
        <v>0.28229665071770332</v>
      </c>
      <c r="D974" s="5">
        <v>0.38755980861244022</v>
      </c>
      <c r="E974" s="5">
        <v>0.13875598086124402</v>
      </c>
      <c r="F974" s="5">
        <v>4.784688995215311E-2</v>
      </c>
    </row>
    <row r="977" spans="1:3" x14ac:dyDescent="0.25">
      <c r="A977" s="3" t="s">
        <v>664</v>
      </c>
    </row>
    <row r="979" spans="1:3" x14ac:dyDescent="0.25">
      <c r="A979" s="63"/>
      <c r="B979" s="58" t="s">
        <v>10</v>
      </c>
      <c r="C979" s="58" t="s">
        <v>78</v>
      </c>
    </row>
    <row r="980" spans="1:3" x14ac:dyDescent="0.25">
      <c r="A980" s="63">
        <v>0</v>
      </c>
      <c r="B980" s="58">
        <v>85</v>
      </c>
      <c r="C980" s="5">
        <f>B980/214</f>
        <v>0.39719626168224298</v>
      </c>
    </row>
    <row r="981" spans="1:3" x14ac:dyDescent="0.25">
      <c r="A981" s="63">
        <v>1</v>
      </c>
      <c r="B981" s="58">
        <v>14</v>
      </c>
      <c r="C981" s="5">
        <f t="shared" ref="C981:C996" si="19">B981/214</f>
        <v>6.5420560747663545E-2</v>
      </c>
    </row>
    <row r="982" spans="1:3" x14ac:dyDescent="0.25">
      <c r="A982" s="63">
        <v>2</v>
      </c>
      <c r="B982" s="58">
        <v>17</v>
      </c>
      <c r="C982" s="5">
        <f t="shared" si="19"/>
        <v>7.9439252336448593E-2</v>
      </c>
    </row>
    <row r="983" spans="1:3" x14ac:dyDescent="0.25">
      <c r="A983" s="63">
        <v>3</v>
      </c>
      <c r="B983" s="58">
        <v>21</v>
      </c>
      <c r="C983" s="5">
        <f t="shared" si="19"/>
        <v>9.8130841121495324E-2</v>
      </c>
    </row>
    <row r="984" spans="1:3" x14ac:dyDescent="0.25">
      <c r="A984" s="63">
        <v>4</v>
      </c>
      <c r="B984" s="58">
        <v>3</v>
      </c>
      <c r="C984" s="5">
        <f t="shared" si="19"/>
        <v>1.4018691588785047E-2</v>
      </c>
    </row>
    <row r="985" spans="1:3" x14ac:dyDescent="0.25">
      <c r="A985" s="63">
        <v>5</v>
      </c>
      <c r="B985" s="58">
        <v>10</v>
      </c>
      <c r="C985" s="5">
        <f t="shared" si="19"/>
        <v>4.6728971962616821E-2</v>
      </c>
    </row>
    <row r="986" spans="1:3" x14ac:dyDescent="0.25">
      <c r="A986" s="63">
        <v>6</v>
      </c>
      <c r="B986" s="58">
        <v>4</v>
      </c>
      <c r="C986" s="5">
        <f t="shared" si="19"/>
        <v>1.8691588785046728E-2</v>
      </c>
    </row>
    <row r="987" spans="1:3" x14ac:dyDescent="0.25">
      <c r="A987" s="63">
        <v>7</v>
      </c>
      <c r="B987" s="58">
        <v>2</v>
      </c>
      <c r="C987" s="5">
        <f t="shared" si="19"/>
        <v>9.3457943925233638E-3</v>
      </c>
    </row>
    <row r="988" spans="1:3" x14ac:dyDescent="0.25">
      <c r="A988" s="63">
        <v>8</v>
      </c>
      <c r="B988" s="58">
        <v>4</v>
      </c>
      <c r="C988" s="5">
        <f t="shared" si="19"/>
        <v>1.8691588785046728E-2</v>
      </c>
    </row>
    <row r="989" spans="1:3" x14ac:dyDescent="0.25">
      <c r="A989" s="63">
        <v>9</v>
      </c>
      <c r="B989" s="58">
        <v>3</v>
      </c>
      <c r="C989" s="5">
        <f t="shared" si="19"/>
        <v>1.4018691588785047E-2</v>
      </c>
    </row>
    <row r="990" spans="1:3" x14ac:dyDescent="0.25">
      <c r="A990" s="63">
        <v>10</v>
      </c>
      <c r="B990" s="58">
        <v>10</v>
      </c>
      <c r="C990" s="5">
        <f t="shared" si="19"/>
        <v>4.6728971962616821E-2</v>
      </c>
    </row>
    <row r="991" spans="1:3" x14ac:dyDescent="0.25">
      <c r="A991" s="67" t="s">
        <v>665</v>
      </c>
      <c r="B991" s="58">
        <v>16</v>
      </c>
      <c r="C991" s="5">
        <f t="shared" si="19"/>
        <v>7.476635514018691E-2</v>
      </c>
    </row>
    <row r="992" spans="1:3" x14ac:dyDescent="0.25">
      <c r="A992" s="67" t="s">
        <v>666</v>
      </c>
      <c r="B992" s="58">
        <v>10</v>
      </c>
      <c r="C992" s="5">
        <f t="shared" si="19"/>
        <v>4.6728971962616821E-2</v>
      </c>
    </row>
    <row r="993" spans="1:3" x14ac:dyDescent="0.25">
      <c r="A993" s="67" t="s">
        <v>667</v>
      </c>
      <c r="B993" s="58">
        <v>4</v>
      </c>
      <c r="C993" s="5">
        <f t="shared" si="19"/>
        <v>1.8691588785046728E-2</v>
      </c>
    </row>
    <row r="994" spans="1:3" x14ac:dyDescent="0.25">
      <c r="A994" s="67" t="s">
        <v>668</v>
      </c>
      <c r="B994" s="58">
        <v>2</v>
      </c>
      <c r="C994" s="5">
        <f t="shared" si="19"/>
        <v>9.3457943925233638E-3</v>
      </c>
    </row>
    <row r="995" spans="1:3" x14ac:dyDescent="0.25">
      <c r="A995" s="67" t="s">
        <v>669</v>
      </c>
      <c r="B995" s="58">
        <v>9</v>
      </c>
      <c r="C995" s="5">
        <f t="shared" si="19"/>
        <v>4.2056074766355138E-2</v>
      </c>
    </row>
    <row r="996" spans="1:3" x14ac:dyDescent="0.25">
      <c r="A996" s="67" t="s">
        <v>53</v>
      </c>
      <c r="B996" s="58">
        <f>SUM(B980:B995)</f>
        <v>214</v>
      </c>
      <c r="C996" s="5">
        <f t="shared" si="19"/>
        <v>1</v>
      </c>
    </row>
    <row r="997" spans="1:3" x14ac:dyDescent="0.25">
      <c r="A997" s="68"/>
    </row>
    <row r="998" spans="1:3" x14ac:dyDescent="0.25">
      <c r="A998" s="68"/>
    </row>
    <row r="999" spans="1:3" x14ac:dyDescent="0.25">
      <c r="A999" s="3" t="s">
        <v>670</v>
      </c>
    </row>
    <row r="1001" spans="1:3" x14ac:dyDescent="0.25">
      <c r="A1001" s="58"/>
      <c r="B1001" s="58" t="s">
        <v>10</v>
      </c>
      <c r="C1001" s="58" t="s">
        <v>78</v>
      </c>
    </row>
    <row r="1002" spans="1:3" x14ac:dyDescent="0.25">
      <c r="A1002" s="58" t="s">
        <v>671</v>
      </c>
      <c r="B1002" s="58">
        <v>12</v>
      </c>
      <c r="C1002" s="5">
        <f>B1002/130</f>
        <v>9.2307692307692313E-2</v>
      </c>
    </row>
    <row r="1003" spans="1:3" x14ac:dyDescent="0.25">
      <c r="A1003" s="58" t="s">
        <v>672</v>
      </c>
      <c r="B1003" s="58">
        <v>80</v>
      </c>
      <c r="C1003" s="5">
        <f t="shared" ref="C1003:C1007" si="20">B1003/130</f>
        <v>0.61538461538461542</v>
      </c>
    </row>
    <row r="1004" spans="1:3" x14ac:dyDescent="0.25">
      <c r="A1004" s="58" t="s">
        <v>673</v>
      </c>
      <c r="B1004" s="58">
        <v>31</v>
      </c>
      <c r="C1004" s="5">
        <f t="shared" si="20"/>
        <v>0.23846153846153847</v>
      </c>
    </row>
    <row r="1005" spans="1:3" x14ac:dyDescent="0.25">
      <c r="A1005" s="58" t="s">
        <v>674</v>
      </c>
      <c r="B1005" s="58">
        <v>6</v>
      </c>
      <c r="C1005" s="5">
        <f t="shared" si="20"/>
        <v>4.6153846153846156E-2</v>
      </c>
    </row>
    <row r="1006" spans="1:3" x14ac:dyDescent="0.25">
      <c r="A1006" s="58" t="s">
        <v>675</v>
      </c>
      <c r="B1006" s="58">
        <v>1</v>
      </c>
      <c r="C1006" s="5">
        <f t="shared" si="20"/>
        <v>7.6923076923076927E-3</v>
      </c>
    </row>
    <row r="1007" spans="1:3" x14ac:dyDescent="0.25">
      <c r="A1007" s="58" t="s">
        <v>53</v>
      </c>
      <c r="B1007" s="58">
        <f>SUM(B1002:B1006)</f>
        <v>130</v>
      </c>
      <c r="C1007" s="5">
        <f t="shared" si="20"/>
        <v>1</v>
      </c>
    </row>
    <row r="1010" spans="1:6" x14ac:dyDescent="0.25">
      <c r="A1010" s="17" t="s">
        <v>822</v>
      </c>
    </row>
    <row r="1012" spans="1:6" ht="30" x14ac:dyDescent="0.25">
      <c r="A1012" s="58"/>
      <c r="B1012" s="53" t="s">
        <v>178</v>
      </c>
      <c r="C1012" s="53" t="s">
        <v>179</v>
      </c>
      <c r="D1012" s="53" t="s">
        <v>679</v>
      </c>
      <c r="E1012" s="53" t="s">
        <v>181</v>
      </c>
      <c r="F1012" s="53" t="s">
        <v>240</v>
      </c>
    </row>
    <row r="1013" spans="1:6" x14ac:dyDescent="0.25">
      <c r="A1013" s="58" t="s">
        <v>677</v>
      </c>
      <c r="B1013" s="5">
        <v>0.19230769230769232</v>
      </c>
      <c r="C1013" s="5">
        <v>0.31538461538461537</v>
      </c>
      <c r="D1013" s="5">
        <v>0.37692307692307692</v>
      </c>
      <c r="E1013" s="5">
        <v>0.1076923076923077</v>
      </c>
      <c r="F1013" s="5">
        <v>7.6923076923076927E-3</v>
      </c>
    </row>
    <row r="1014" spans="1:6" x14ac:dyDescent="0.25">
      <c r="A1014" s="58" t="s">
        <v>678</v>
      </c>
      <c r="B1014" s="5">
        <v>0.2558139534883721</v>
      </c>
      <c r="C1014" s="5">
        <v>0.27131782945736432</v>
      </c>
      <c r="D1014" s="5">
        <v>0.24806201550387597</v>
      </c>
      <c r="E1014" s="5">
        <v>0.13953488372093023</v>
      </c>
      <c r="F1014" s="5">
        <v>8.5271317829457363E-2</v>
      </c>
    </row>
    <row r="1017" spans="1:6" x14ac:dyDescent="0.25">
      <c r="A1017" s="17" t="s">
        <v>680</v>
      </c>
    </row>
    <row r="1019" spans="1:6" x14ac:dyDescent="0.25">
      <c r="A1019" s="5"/>
      <c r="B1019" s="5" t="s">
        <v>178</v>
      </c>
      <c r="C1019" s="5" t="s">
        <v>179</v>
      </c>
      <c r="D1019" s="5" t="s">
        <v>180</v>
      </c>
      <c r="E1019" s="5" t="s">
        <v>181</v>
      </c>
      <c r="F1019" s="5" t="s">
        <v>182</v>
      </c>
    </row>
    <row r="1020" spans="1:6" x14ac:dyDescent="0.25">
      <c r="A1020" s="5" t="s">
        <v>681</v>
      </c>
      <c r="B1020" s="5">
        <v>0.24427480916030533</v>
      </c>
      <c r="C1020" s="5">
        <v>0.33587786259541985</v>
      </c>
      <c r="D1020" s="5">
        <v>0.3282442748091603</v>
      </c>
      <c r="E1020" s="5">
        <v>7.6335877862595422E-2</v>
      </c>
      <c r="F1020" s="5">
        <v>1.5267175572519083E-2</v>
      </c>
    </row>
    <row r="1021" spans="1:6" x14ac:dyDescent="0.25">
      <c r="A1021" s="5" t="s">
        <v>682</v>
      </c>
      <c r="B1021" s="5">
        <v>0.3515625</v>
      </c>
      <c r="C1021" s="5">
        <v>0.3359375</v>
      </c>
      <c r="D1021" s="5">
        <v>0.2265625</v>
      </c>
      <c r="E1021" s="5">
        <v>4.6875E-2</v>
      </c>
      <c r="F1021" s="5">
        <v>3.90625E-2</v>
      </c>
    </row>
    <row r="1022" spans="1:6" x14ac:dyDescent="0.25">
      <c r="A1022" s="5" t="s">
        <v>683</v>
      </c>
      <c r="B1022" s="5">
        <v>0.28244274809160308</v>
      </c>
      <c r="C1022" s="5">
        <v>0.34351145038167941</v>
      </c>
      <c r="D1022" s="5">
        <v>0.27480916030534353</v>
      </c>
      <c r="E1022" s="5">
        <v>5.3435114503816793E-2</v>
      </c>
      <c r="F1022" s="5">
        <v>4.5801526717557252E-2</v>
      </c>
    </row>
    <row r="1023" spans="1:6" x14ac:dyDescent="0.25">
      <c r="A1023" s="5" t="s">
        <v>684</v>
      </c>
      <c r="B1023" s="5">
        <v>0.35384615384615387</v>
      </c>
      <c r="C1023" s="5">
        <v>0.38461538461538464</v>
      </c>
      <c r="D1023" s="5">
        <v>0.2153846153846154</v>
      </c>
      <c r="E1023" s="5">
        <v>3.8461538461538464E-2</v>
      </c>
      <c r="F1023" s="5">
        <v>7.6923076923076927E-3</v>
      </c>
    </row>
    <row r="1026" spans="1:3" x14ac:dyDescent="0.25">
      <c r="A1026" s="3" t="s">
        <v>685</v>
      </c>
    </row>
    <row r="1028" spans="1:3" x14ac:dyDescent="0.25">
      <c r="A1028" s="63"/>
      <c r="B1028" s="58" t="s">
        <v>10</v>
      </c>
      <c r="C1028" s="58" t="s">
        <v>78</v>
      </c>
    </row>
    <row r="1029" spans="1:3" x14ac:dyDescent="0.25">
      <c r="A1029" s="63">
        <v>0</v>
      </c>
      <c r="B1029" s="58">
        <v>110</v>
      </c>
      <c r="C1029" s="5">
        <f>B1029/214</f>
        <v>0.51401869158878499</v>
      </c>
    </row>
    <row r="1030" spans="1:3" x14ac:dyDescent="0.25">
      <c r="A1030" s="63">
        <v>1</v>
      </c>
      <c r="B1030" s="58">
        <v>15</v>
      </c>
      <c r="C1030" s="5">
        <f t="shared" ref="C1030:C1045" si="21">B1030/214</f>
        <v>7.0093457943925228E-2</v>
      </c>
    </row>
    <row r="1031" spans="1:3" x14ac:dyDescent="0.25">
      <c r="A1031" s="63">
        <v>2</v>
      </c>
      <c r="B1031" s="58">
        <v>19</v>
      </c>
      <c r="C1031" s="5">
        <f t="shared" si="21"/>
        <v>8.8785046728971959E-2</v>
      </c>
    </row>
    <row r="1032" spans="1:3" x14ac:dyDescent="0.25">
      <c r="A1032" s="63">
        <v>3</v>
      </c>
      <c r="B1032" s="58">
        <v>16</v>
      </c>
      <c r="C1032" s="5">
        <f t="shared" si="21"/>
        <v>7.476635514018691E-2</v>
      </c>
    </row>
    <row r="1033" spans="1:3" x14ac:dyDescent="0.25">
      <c r="A1033" s="63">
        <v>4</v>
      </c>
      <c r="B1033" s="58">
        <v>12</v>
      </c>
      <c r="C1033" s="5">
        <f t="shared" si="21"/>
        <v>5.6074766355140186E-2</v>
      </c>
    </row>
    <row r="1034" spans="1:3" x14ac:dyDescent="0.25">
      <c r="A1034" s="63">
        <v>5</v>
      </c>
      <c r="B1034" s="58">
        <v>13</v>
      </c>
      <c r="C1034" s="5">
        <f t="shared" si="21"/>
        <v>6.0747663551401869E-2</v>
      </c>
    </row>
    <row r="1035" spans="1:3" x14ac:dyDescent="0.25">
      <c r="A1035" s="63">
        <v>6</v>
      </c>
      <c r="B1035" s="58">
        <v>5</v>
      </c>
      <c r="C1035" s="5">
        <f t="shared" si="21"/>
        <v>2.336448598130841E-2</v>
      </c>
    </row>
    <row r="1036" spans="1:3" x14ac:dyDescent="0.25">
      <c r="A1036" s="63">
        <v>7</v>
      </c>
      <c r="B1036" s="58">
        <v>3</v>
      </c>
      <c r="C1036" s="5">
        <f t="shared" si="21"/>
        <v>1.4018691588785047E-2</v>
      </c>
    </row>
    <row r="1037" spans="1:3" x14ac:dyDescent="0.25">
      <c r="A1037" s="63">
        <v>8</v>
      </c>
      <c r="B1037" s="58">
        <v>3</v>
      </c>
      <c r="C1037" s="5">
        <f t="shared" si="21"/>
        <v>1.4018691588785047E-2</v>
      </c>
    </row>
    <row r="1038" spans="1:3" x14ac:dyDescent="0.25">
      <c r="A1038" s="63">
        <v>9</v>
      </c>
      <c r="B1038" s="58">
        <v>1</v>
      </c>
      <c r="C1038" s="5">
        <f t="shared" si="21"/>
        <v>4.6728971962616819E-3</v>
      </c>
    </row>
    <row r="1039" spans="1:3" x14ac:dyDescent="0.25">
      <c r="A1039" s="63">
        <v>10</v>
      </c>
      <c r="B1039" s="58">
        <v>3</v>
      </c>
      <c r="C1039" s="5">
        <f t="shared" si="21"/>
        <v>1.4018691588785047E-2</v>
      </c>
    </row>
    <row r="1040" spans="1:3" x14ac:dyDescent="0.25">
      <c r="A1040" s="67" t="s">
        <v>665</v>
      </c>
      <c r="B1040" s="58">
        <v>4</v>
      </c>
      <c r="C1040" s="5">
        <f t="shared" si="21"/>
        <v>1.8691588785046728E-2</v>
      </c>
    </row>
    <row r="1041" spans="1:3" x14ac:dyDescent="0.25">
      <c r="A1041" s="67" t="s">
        <v>666</v>
      </c>
      <c r="B1041" s="58">
        <v>3</v>
      </c>
      <c r="C1041" s="5">
        <f t="shared" si="21"/>
        <v>1.4018691588785047E-2</v>
      </c>
    </row>
    <row r="1042" spans="1:3" x14ac:dyDescent="0.25">
      <c r="A1042" s="67" t="s">
        <v>667</v>
      </c>
      <c r="B1042" s="58">
        <v>2</v>
      </c>
      <c r="C1042" s="5">
        <f t="shared" si="21"/>
        <v>9.3457943925233638E-3</v>
      </c>
    </row>
    <row r="1043" spans="1:3" x14ac:dyDescent="0.25">
      <c r="A1043" s="67" t="s">
        <v>668</v>
      </c>
      <c r="B1043" s="58">
        <v>0</v>
      </c>
      <c r="C1043" s="5">
        <f t="shared" si="21"/>
        <v>0</v>
      </c>
    </row>
    <row r="1044" spans="1:3" x14ac:dyDescent="0.25">
      <c r="A1044" s="67" t="s">
        <v>669</v>
      </c>
      <c r="B1044" s="58">
        <v>5</v>
      </c>
      <c r="C1044" s="5">
        <f t="shared" si="21"/>
        <v>2.336448598130841E-2</v>
      </c>
    </row>
    <row r="1045" spans="1:3" x14ac:dyDescent="0.25">
      <c r="A1045" s="67" t="s">
        <v>53</v>
      </c>
      <c r="B1045" s="58">
        <f>SUM(B1029:B1044)</f>
        <v>214</v>
      </c>
      <c r="C1045" s="5">
        <f t="shared" si="21"/>
        <v>1</v>
      </c>
    </row>
    <row r="1048" spans="1:3" x14ac:dyDescent="0.25">
      <c r="A1048" s="3" t="s">
        <v>686</v>
      </c>
    </row>
    <row r="1050" spans="1:3" x14ac:dyDescent="0.25">
      <c r="A1050" s="58"/>
      <c r="B1050" s="58" t="s">
        <v>10</v>
      </c>
      <c r="C1050" s="58" t="s">
        <v>78</v>
      </c>
    </row>
    <row r="1051" spans="1:3" x14ac:dyDescent="0.25">
      <c r="A1051" s="58" t="s">
        <v>671</v>
      </c>
      <c r="B1051" s="58">
        <v>15</v>
      </c>
      <c r="C1051" s="5">
        <f>B1051/$B$1056</f>
        <v>0.14423076923076922</v>
      </c>
    </row>
    <row r="1052" spans="1:3" x14ac:dyDescent="0.25">
      <c r="A1052" s="58" t="s">
        <v>672</v>
      </c>
      <c r="B1052" s="58">
        <v>58</v>
      </c>
      <c r="C1052" s="5">
        <f t="shared" ref="C1052:C1056" si="22">B1052/$B$1056</f>
        <v>0.55769230769230771</v>
      </c>
    </row>
    <row r="1053" spans="1:3" x14ac:dyDescent="0.25">
      <c r="A1053" s="58" t="s">
        <v>673</v>
      </c>
      <c r="B1053" s="58">
        <v>23</v>
      </c>
      <c r="C1053" s="5">
        <f t="shared" si="22"/>
        <v>0.22115384615384615</v>
      </c>
    </row>
    <row r="1054" spans="1:3" x14ac:dyDescent="0.25">
      <c r="A1054" s="58" t="s">
        <v>674</v>
      </c>
      <c r="B1054" s="58">
        <v>8</v>
      </c>
      <c r="C1054" s="5">
        <f t="shared" si="22"/>
        <v>7.6923076923076927E-2</v>
      </c>
    </row>
    <row r="1055" spans="1:3" x14ac:dyDescent="0.25">
      <c r="A1055" s="58" t="s">
        <v>675</v>
      </c>
      <c r="B1055" s="58">
        <v>0</v>
      </c>
      <c r="C1055" s="5">
        <f t="shared" si="22"/>
        <v>0</v>
      </c>
    </row>
    <row r="1056" spans="1:3" x14ac:dyDescent="0.25">
      <c r="A1056" s="58" t="s">
        <v>53</v>
      </c>
      <c r="B1056" s="58">
        <f>SUM(B1051:B1055)</f>
        <v>104</v>
      </c>
      <c r="C1056" s="5">
        <f t="shared" si="22"/>
        <v>1</v>
      </c>
    </row>
    <row r="1059" spans="1:6" x14ac:dyDescent="0.25">
      <c r="A1059" s="17" t="s">
        <v>687</v>
      </c>
    </row>
    <row r="1060" spans="1:6" x14ac:dyDescent="0.25">
      <c r="A1060" s="58"/>
      <c r="B1060" s="58" t="s">
        <v>178</v>
      </c>
      <c r="C1060" s="58" t="s">
        <v>179</v>
      </c>
      <c r="D1060" s="58" t="s">
        <v>180</v>
      </c>
      <c r="E1060" s="58" t="s">
        <v>181</v>
      </c>
      <c r="F1060" s="58" t="s">
        <v>182</v>
      </c>
    </row>
    <row r="1061" spans="1:6" x14ac:dyDescent="0.25">
      <c r="A1061" s="58" t="s">
        <v>688</v>
      </c>
      <c r="B1061" s="5">
        <v>0.33333333333333331</v>
      </c>
      <c r="C1061" s="5">
        <v>0.33333333333333331</v>
      </c>
      <c r="D1061" s="5">
        <v>0.22222222222222221</v>
      </c>
      <c r="E1061" s="5">
        <v>9.2592592592592587E-2</v>
      </c>
      <c r="F1061" s="5">
        <v>1.8518518518518517E-2</v>
      </c>
    </row>
    <row r="1062" spans="1:6" x14ac:dyDescent="0.25">
      <c r="A1062" s="58" t="s">
        <v>678</v>
      </c>
      <c r="B1062" s="5">
        <v>0.44859813084112149</v>
      </c>
      <c r="C1062" s="5">
        <v>0.37383177570093457</v>
      </c>
      <c r="D1062" s="5">
        <v>0.14018691588785046</v>
      </c>
      <c r="E1062" s="5">
        <v>2.8037383177570093E-2</v>
      </c>
      <c r="F1062" s="5">
        <v>9.3457943925233638E-3</v>
      </c>
    </row>
    <row r="1065" spans="1:6" x14ac:dyDescent="0.25">
      <c r="A1065" s="17" t="s">
        <v>694</v>
      </c>
    </row>
    <row r="1066" spans="1:6" x14ac:dyDescent="0.25">
      <c r="A1066" s="5"/>
      <c r="B1066" s="5" t="s">
        <v>178</v>
      </c>
      <c r="C1066" s="5" t="s">
        <v>179</v>
      </c>
      <c r="D1066" s="5" t="s">
        <v>180</v>
      </c>
      <c r="E1066" s="5" t="s">
        <v>181</v>
      </c>
      <c r="F1066" s="5" t="s">
        <v>182</v>
      </c>
    </row>
    <row r="1067" spans="1:6" x14ac:dyDescent="0.25">
      <c r="A1067" s="5" t="s">
        <v>690</v>
      </c>
      <c r="B1067" s="5">
        <v>0.33333333333333331</v>
      </c>
      <c r="C1067" s="5">
        <v>0.34259259259259262</v>
      </c>
      <c r="D1067" s="5">
        <v>0.21296296296296297</v>
      </c>
      <c r="E1067" s="5">
        <v>7.407407407407407E-2</v>
      </c>
      <c r="F1067" s="5">
        <v>3.7037037037037035E-2</v>
      </c>
    </row>
    <row r="1068" spans="1:6" x14ac:dyDescent="0.25">
      <c r="A1068" s="5" t="s">
        <v>691</v>
      </c>
      <c r="B1068" s="5">
        <v>0.39814814814814814</v>
      </c>
      <c r="C1068" s="5">
        <v>0.3888888888888889</v>
      </c>
      <c r="D1068" s="5">
        <v>0.14814814814814814</v>
      </c>
      <c r="E1068" s="5">
        <v>4.6296296296296294E-2</v>
      </c>
      <c r="F1068" s="5">
        <v>1.8518518518518517E-2</v>
      </c>
    </row>
    <row r="1069" spans="1:6" x14ac:dyDescent="0.25">
      <c r="A1069" s="5" t="s">
        <v>692</v>
      </c>
      <c r="B1069" s="5">
        <v>0.32710280373831774</v>
      </c>
      <c r="C1069" s="5">
        <v>0.40186915887850466</v>
      </c>
      <c r="D1069" s="5">
        <v>0.21495327102803738</v>
      </c>
      <c r="E1069" s="5">
        <v>4.6728971962616821E-2</v>
      </c>
      <c r="F1069" s="5">
        <v>9.3457943925233638E-3</v>
      </c>
    </row>
    <row r="1070" spans="1:6" x14ac:dyDescent="0.25">
      <c r="A1070" s="5" t="s">
        <v>693</v>
      </c>
      <c r="B1070" s="5">
        <v>0.38317757009345793</v>
      </c>
      <c r="C1070" s="5">
        <v>0.3925233644859813</v>
      </c>
      <c r="D1070" s="5">
        <v>0.15887850467289719</v>
      </c>
      <c r="E1070" s="5">
        <v>5.6074766355140186E-2</v>
      </c>
      <c r="F1070" s="5">
        <v>9.3457943925233638E-3</v>
      </c>
    </row>
    <row r="1073" spans="1:3" x14ac:dyDescent="0.25">
      <c r="A1073" s="3" t="s">
        <v>695</v>
      </c>
    </row>
    <row r="1075" spans="1:3" x14ac:dyDescent="0.25">
      <c r="A1075" s="56" t="s">
        <v>696</v>
      </c>
    </row>
    <row r="1077" spans="1:3" x14ac:dyDescent="0.25">
      <c r="A1077" s="3" t="s">
        <v>697</v>
      </c>
    </row>
    <row r="1079" spans="1:3" x14ac:dyDescent="0.25">
      <c r="A1079" s="58"/>
      <c r="B1079" s="58" t="s">
        <v>10</v>
      </c>
      <c r="C1079" s="58" t="s">
        <v>78</v>
      </c>
    </row>
    <row r="1080" spans="1:3" x14ac:dyDescent="0.25">
      <c r="A1080" s="58" t="s">
        <v>671</v>
      </c>
      <c r="B1080" s="58">
        <v>12</v>
      </c>
      <c r="C1080" s="5">
        <f t="shared" ref="C1080:C1085" si="23">B116:B1080/84</f>
        <v>0.14285714285714285</v>
      </c>
    </row>
    <row r="1081" spans="1:3" x14ac:dyDescent="0.25">
      <c r="A1081" s="58" t="s">
        <v>672</v>
      </c>
      <c r="B1081" s="58">
        <v>48</v>
      </c>
      <c r="C1081" s="5">
        <f t="shared" si="23"/>
        <v>0.5714285714285714</v>
      </c>
    </row>
    <row r="1082" spans="1:3" x14ac:dyDescent="0.25">
      <c r="A1082" s="58" t="s">
        <v>673</v>
      </c>
      <c r="B1082" s="58">
        <v>14</v>
      </c>
      <c r="C1082" s="5">
        <f t="shared" si="23"/>
        <v>0.16666666666666666</v>
      </c>
    </row>
    <row r="1083" spans="1:3" x14ac:dyDescent="0.25">
      <c r="A1083" s="58" t="s">
        <v>674</v>
      </c>
      <c r="B1083" s="58">
        <v>10</v>
      </c>
      <c r="C1083" s="5">
        <f t="shared" si="23"/>
        <v>0.11904761904761904</v>
      </c>
    </row>
    <row r="1084" spans="1:3" x14ac:dyDescent="0.25">
      <c r="A1084" s="58" t="s">
        <v>675</v>
      </c>
      <c r="B1084" s="58">
        <v>0</v>
      </c>
      <c r="C1084" s="5">
        <f t="shared" si="23"/>
        <v>0</v>
      </c>
    </row>
    <row r="1085" spans="1:3" x14ac:dyDescent="0.25">
      <c r="A1085" s="58" t="s">
        <v>53</v>
      </c>
      <c r="B1085" s="58">
        <f>SUM(B1080:B1084)</f>
        <v>84</v>
      </c>
      <c r="C1085" s="5">
        <f t="shared" si="23"/>
        <v>1</v>
      </c>
    </row>
    <row r="1088" spans="1:3" x14ac:dyDescent="0.25">
      <c r="A1088" s="17" t="s">
        <v>698</v>
      </c>
    </row>
    <row r="1090" spans="1:6" ht="30" x14ac:dyDescent="0.25">
      <c r="A1090" s="58"/>
      <c r="B1090" s="53" t="s">
        <v>178</v>
      </c>
      <c r="C1090" s="53" t="s">
        <v>179</v>
      </c>
      <c r="D1090" s="53" t="s">
        <v>180</v>
      </c>
      <c r="E1090" s="53" t="s">
        <v>181</v>
      </c>
      <c r="F1090" s="53" t="s">
        <v>182</v>
      </c>
    </row>
    <row r="1091" spans="1:6" x14ac:dyDescent="0.25">
      <c r="A1091" s="58" t="s">
        <v>700</v>
      </c>
      <c r="B1091" s="5">
        <v>9.6385542168674704E-2</v>
      </c>
      <c r="C1091" s="5">
        <v>0.25301204819277107</v>
      </c>
      <c r="D1091" s="5">
        <v>0.44578313253012047</v>
      </c>
      <c r="E1091" s="5">
        <v>0.12048192771084337</v>
      </c>
      <c r="F1091" s="5">
        <v>8.4337349397590355E-2</v>
      </c>
    </row>
    <row r="1092" spans="1:6" x14ac:dyDescent="0.25">
      <c r="A1092" s="58" t="s">
        <v>701</v>
      </c>
      <c r="B1092" s="5">
        <v>0.13095238095238096</v>
      </c>
      <c r="C1092" s="5">
        <v>0.30952380952380953</v>
      </c>
      <c r="D1092" s="5">
        <v>0.42857142857142855</v>
      </c>
      <c r="E1092" s="5">
        <v>9.5238095238095233E-2</v>
      </c>
      <c r="F1092" s="5">
        <v>3.5714285714285712E-2</v>
      </c>
    </row>
    <row r="1093" spans="1:6" x14ac:dyDescent="0.25">
      <c r="A1093" s="58" t="s">
        <v>702</v>
      </c>
      <c r="B1093" s="5">
        <v>0.27058823529411763</v>
      </c>
      <c r="C1093" s="5">
        <v>0.3411764705882353</v>
      </c>
      <c r="D1093" s="5">
        <v>0.27058823529411763</v>
      </c>
      <c r="E1093" s="5">
        <v>8.2352941176470587E-2</v>
      </c>
      <c r="F1093" s="5">
        <v>3.5294117647058823E-2</v>
      </c>
    </row>
    <row r="1096" spans="1:6" x14ac:dyDescent="0.25">
      <c r="A1096" s="17" t="s">
        <v>703</v>
      </c>
    </row>
    <row r="1098" spans="1:6" ht="30" x14ac:dyDescent="0.25">
      <c r="A1098" s="58"/>
      <c r="B1098" s="53" t="s">
        <v>178</v>
      </c>
      <c r="C1098" s="53" t="s">
        <v>179</v>
      </c>
      <c r="D1098" s="53" t="s">
        <v>180</v>
      </c>
      <c r="E1098" s="53" t="s">
        <v>181</v>
      </c>
      <c r="F1098" s="53" t="s">
        <v>182</v>
      </c>
    </row>
    <row r="1099" spans="1:6" x14ac:dyDescent="0.25">
      <c r="A1099" s="58" t="s">
        <v>823</v>
      </c>
      <c r="B1099" s="5">
        <v>0.27710843373493976</v>
      </c>
      <c r="C1099" s="5">
        <v>0.40963855421686746</v>
      </c>
      <c r="D1099" s="5">
        <v>0.25301204819277107</v>
      </c>
      <c r="E1099" s="5">
        <v>6.0240963855421686E-2</v>
      </c>
      <c r="F1099" s="5">
        <v>0</v>
      </c>
    </row>
    <row r="1100" spans="1:6" ht="30" x14ac:dyDescent="0.25">
      <c r="A1100" s="53" t="s">
        <v>705</v>
      </c>
      <c r="B1100" s="5">
        <v>0.2857142857142857</v>
      </c>
      <c r="C1100" s="5">
        <v>0.42857142857142855</v>
      </c>
      <c r="D1100" s="5">
        <v>0.22619047619047619</v>
      </c>
      <c r="E1100" s="5">
        <v>3.5714285714285712E-2</v>
      </c>
      <c r="F1100" s="5">
        <v>2.3809523809523808E-2</v>
      </c>
    </row>
    <row r="1103" spans="1:6" x14ac:dyDescent="0.25">
      <c r="A1103" s="3" t="s">
        <v>706</v>
      </c>
    </row>
    <row r="1105" spans="1:6" x14ac:dyDescent="0.25">
      <c r="A1105" s="17" t="s">
        <v>711</v>
      </c>
    </row>
    <row r="1106" spans="1:6" x14ac:dyDescent="0.25">
      <c r="A1106" s="17"/>
    </row>
    <row r="1107" spans="1:6" x14ac:dyDescent="0.25">
      <c r="A1107" s="58"/>
      <c r="B1107" s="69" t="s">
        <v>97</v>
      </c>
      <c r="C1107" s="69" t="s">
        <v>98</v>
      </c>
      <c r="D1107" s="69" t="s">
        <v>99</v>
      </c>
      <c r="E1107" s="69" t="s">
        <v>100</v>
      </c>
    </row>
    <row r="1108" spans="1:6" x14ac:dyDescent="0.25">
      <c r="A1108" s="53" t="s">
        <v>824</v>
      </c>
      <c r="B1108" s="5">
        <v>6.8807339449541288E-2</v>
      </c>
      <c r="C1108" s="5">
        <v>0.1743119266055046</v>
      </c>
      <c r="D1108" s="5">
        <v>0.44495412844036697</v>
      </c>
      <c r="E1108" s="5">
        <v>0.31192660550458717</v>
      </c>
    </row>
    <row r="1109" spans="1:6" x14ac:dyDescent="0.25">
      <c r="A1109" s="53" t="s">
        <v>709</v>
      </c>
      <c r="B1109" s="5">
        <v>0.27853881278538811</v>
      </c>
      <c r="C1109" s="5">
        <v>0.52511415525114158</v>
      </c>
      <c r="D1109" s="5">
        <v>0.14611872146118721</v>
      </c>
      <c r="E1109" s="5">
        <v>5.0228310502283102E-2</v>
      </c>
    </row>
    <row r="1110" spans="1:6" x14ac:dyDescent="0.25">
      <c r="A1110" s="53" t="s">
        <v>710</v>
      </c>
      <c r="B1110" s="5">
        <v>0.413953488372093</v>
      </c>
      <c r="C1110" s="5">
        <v>0.48837209302325579</v>
      </c>
      <c r="D1110" s="5">
        <v>5.5813953488372092E-2</v>
      </c>
      <c r="E1110" s="5">
        <v>4.1860465116279069E-2</v>
      </c>
    </row>
    <row r="1113" spans="1:6" x14ac:dyDescent="0.25">
      <c r="A1113" s="55" t="s">
        <v>730</v>
      </c>
    </row>
    <row r="1115" spans="1:6" x14ac:dyDescent="0.25">
      <c r="A1115" s="5"/>
      <c r="B1115" s="5" t="s">
        <v>713</v>
      </c>
      <c r="C1115" s="5" t="s">
        <v>714</v>
      </c>
      <c r="D1115" s="5" t="s">
        <v>715</v>
      </c>
      <c r="E1115" s="5" t="s">
        <v>716</v>
      </c>
      <c r="F1115" s="5" t="s">
        <v>717</v>
      </c>
    </row>
    <row r="1116" spans="1:6" x14ac:dyDescent="0.25">
      <c r="A1116" s="29" t="s">
        <v>718</v>
      </c>
      <c r="B1116" s="5">
        <v>1.834862385321101E-2</v>
      </c>
      <c r="C1116" s="5">
        <v>2.2935779816513763E-2</v>
      </c>
      <c r="D1116" s="5">
        <v>0.19724770642201836</v>
      </c>
      <c r="E1116" s="5">
        <v>0.28440366972477066</v>
      </c>
      <c r="F1116" s="5">
        <v>0.47706422018348627</v>
      </c>
    </row>
    <row r="1117" spans="1:6" x14ac:dyDescent="0.25">
      <c r="A1117" s="29" t="s">
        <v>719</v>
      </c>
      <c r="B1117" s="5">
        <v>0</v>
      </c>
      <c r="C1117" s="5">
        <v>9.3457943925233638E-3</v>
      </c>
      <c r="D1117" s="5">
        <v>9.8130841121495324E-2</v>
      </c>
      <c r="E1117" s="5">
        <v>0.14018691588785046</v>
      </c>
      <c r="F1117" s="5">
        <v>0.75233644859813087</v>
      </c>
    </row>
    <row r="1118" spans="1:6" x14ac:dyDescent="0.25">
      <c r="A1118" s="29" t="s">
        <v>825</v>
      </c>
      <c r="B1118" s="5">
        <v>1.3953488372093023E-2</v>
      </c>
      <c r="C1118" s="5">
        <v>3.255813953488372E-2</v>
      </c>
      <c r="D1118" s="5">
        <v>0.13953488372093023</v>
      </c>
      <c r="E1118" s="5">
        <v>0.26046511627906976</v>
      </c>
      <c r="F1118" s="5">
        <v>0.55348837209302326</v>
      </c>
    </row>
    <row r="1119" spans="1:6" x14ac:dyDescent="0.25">
      <c r="A1119" s="29" t="s">
        <v>721</v>
      </c>
      <c r="B1119" s="5">
        <v>4.6296296296296294E-3</v>
      </c>
      <c r="C1119" s="5">
        <v>2.7777777777777776E-2</v>
      </c>
      <c r="D1119" s="5">
        <v>4.6296296296296294E-2</v>
      </c>
      <c r="E1119" s="5">
        <v>0.125</v>
      </c>
      <c r="F1119" s="5">
        <v>0.79629629629629628</v>
      </c>
    </row>
    <row r="1120" spans="1:6" x14ac:dyDescent="0.25">
      <c r="A1120" s="29" t="s">
        <v>826</v>
      </c>
      <c r="B1120" s="5">
        <v>0</v>
      </c>
      <c r="C1120" s="5">
        <v>1.4150943396226415E-2</v>
      </c>
      <c r="D1120" s="5">
        <v>5.1886792452830191E-2</v>
      </c>
      <c r="E1120" s="5">
        <v>0.10849056603773585</v>
      </c>
      <c r="F1120" s="5">
        <v>0.82547169811320753</v>
      </c>
    </row>
    <row r="1121" spans="1:6" x14ac:dyDescent="0.25">
      <c r="A1121" s="29" t="s">
        <v>723</v>
      </c>
      <c r="B1121" s="5">
        <v>4.5871559633027525E-3</v>
      </c>
      <c r="C1121" s="5">
        <v>4.5871559633027525E-3</v>
      </c>
      <c r="D1121" s="5">
        <v>4.1284403669724773E-2</v>
      </c>
      <c r="E1121" s="5">
        <v>3.669724770642202E-2</v>
      </c>
      <c r="F1121" s="5">
        <v>0.91284403669724767</v>
      </c>
    </row>
    <row r="1122" spans="1:6" x14ac:dyDescent="0.25">
      <c r="A1122" s="29" t="s">
        <v>724</v>
      </c>
      <c r="B1122" s="5">
        <v>4.5871559633027525E-3</v>
      </c>
      <c r="C1122" s="5">
        <v>1.3761467889908258E-2</v>
      </c>
      <c r="D1122" s="5">
        <v>0.10091743119266056</v>
      </c>
      <c r="E1122" s="5">
        <v>0.12844036697247707</v>
      </c>
      <c r="F1122" s="5">
        <v>0.75229357798165142</v>
      </c>
    </row>
    <row r="1123" spans="1:6" ht="30" x14ac:dyDescent="0.25">
      <c r="A1123" s="29" t="s">
        <v>725</v>
      </c>
      <c r="B1123" s="5">
        <v>4.6296296296296294E-3</v>
      </c>
      <c r="C1123" s="5">
        <v>0</v>
      </c>
      <c r="D1123" s="5">
        <v>2.3148148148148147E-2</v>
      </c>
      <c r="E1123" s="5">
        <v>1.3888888888888888E-2</v>
      </c>
      <c r="F1123" s="5">
        <v>0.95833333333333337</v>
      </c>
    </row>
    <row r="1124" spans="1:6" x14ac:dyDescent="0.25">
      <c r="A1124" s="29" t="s">
        <v>726</v>
      </c>
      <c r="B1124" s="5">
        <v>4.6948356807511738E-3</v>
      </c>
      <c r="C1124" s="5">
        <v>2.8169014084507043E-2</v>
      </c>
      <c r="D1124" s="5">
        <v>4.2253521126760563E-2</v>
      </c>
      <c r="E1124" s="5">
        <v>3.2863849765258218E-2</v>
      </c>
      <c r="F1124" s="5">
        <v>0.892018779342723</v>
      </c>
    </row>
    <row r="1125" spans="1:6" x14ac:dyDescent="0.25">
      <c r="A1125" s="29" t="s">
        <v>827</v>
      </c>
      <c r="B1125" s="5">
        <v>9.2165898617511521E-3</v>
      </c>
      <c r="C1125" s="5">
        <v>2.7649769585253458E-2</v>
      </c>
      <c r="D1125" s="5">
        <v>0.13824884792626729</v>
      </c>
      <c r="E1125" s="5">
        <v>0.35023041474654376</v>
      </c>
      <c r="F1125" s="5">
        <v>0.47465437788018433</v>
      </c>
    </row>
    <row r="1126" spans="1:6" x14ac:dyDescent="0.25">
      <c r="A1126" s="29" t="s">
        <v>728</v>
      </c>
      <c r="B1126" s="5">
        <v>9.2165898617511521E-3</v>
      </c>
      <c r="C1126" s="5">
        <v>4.6082949308755762E-2</v>
      </c>
      <c r="D1126" s="5">
        <v>0.19354838709677419</v>
      </c>
      <c r="E1126" s="5">
        <v>0.33179723502304148</v>
      </c>
      <c r="F1126" s="5">
        <v>0.41935483870967744</v>
      </c>
    </row>
    <row r="1127" spans="1:6" x14ac:dyDescent="0.25">
      <c r="A1127" s="29" t="s">
        <v>729</v>
      </c>
      <c r="B1127" s="5">
        <v>1.3953488372093023E-2</v>
      </c>
      <c r="C1127" s="5">
        <v>2.7906976744186046E-2</v>
      </c>
      <c r="D1127" s="5">
        <v>0.12558139534883722</v>
      </c>
      <c r="E1127" s="5">
        <v>0.26511627906976742</v>
      </c>
      <c r="F1127" s="5">
        <v>0.56744186046511624</v>
      </c>
    </row>
    <row r="1130" spans="1:6" x14ac:dyDescent="0.25">
      <c r="A1130" s="30" t="s">
        <v>731</v>
      </c>
    </row>
    <row r="1132" spans="1:6" x14ac:dyDescent="0.25">
      <c r="A1132" s="5"/>
      <c r="B1132" s="5" t="s">
        <v>738</v>
      </c>
      <c r="C1132" s="5" t="s">
        <v>446</v>
      </c>
      <c r="D1132" s="5" t="s">
        <v>739</v>
      </c>
      <c r="E1132" s="5" t="s">
        <v>828</v>
      </c>
      <c r="F1132" s="5" t="s">
        <v>741</v>
      </c>
    </row>
    <row r="1133" spans="1:6" x14ac:dyDescent="0.25">
      <c r="A1133" s="5" t="s">
        <v>732</v>
      </c>
      <c r="B1133" s="5">
        <v>0.15596330275229359</v>
      </c>
      <c r="C1133" s="5">
        <v>0.47706422018348627</v>
      </c>
      <c r="D1133" s="5">
        <v>0.28440366972477066</v>
      </c>
      <c r="E1133" s="5">
        <v>5.0458715596330278E-2</v>
      </c>
      <c r="F1133" s="5">
        <v>3.2110091743119268E-2</v>
      </c>
    </row>
    <row r="1134" spans="1:6" x14ac:dyDescent="0.25">
      <c r="A1134" s="5" t="s">
        <v>733</v>
      </c>
      <c r="B1134" s="5">
        <v>0.18604651162790697</v>
      </c>
      <c r="C1134" s="5">
        <v>0.44651162790697674</v>
      </c>
      <c r="D1134" s="5">
        <v>0.28372093023255812</v>
      </c>
      <c r="E1134" s="5">
        <v>5.5813953488372092E-2</v>
      </c>
      <c r="F1134" s="5">
        <v>2.7906976744186046E-2</v>
      </c>
    </row>
    <row r="1135" spans="1:6" x14ac:dyDescent="0.25">
      <c r="A1135" s="5" t="s">
        <v>829</v>
      </c>
      <c r="B1135" s="5">
        <v>0.21395348837209302</v>
      </c>
      <c r="C1135" s="5">
        <v>0.4511627906976744</v>
      </c>
      <c r="D1135" s="5">
        <v>0.28837209302325584</v>
      </c>
      <c r="E1135" s="5">
        <v>3.7209302325581395E-2</v>
      </c>
      <c r="F1135" s="5">
        <v>9.3023255813953487E-3</v>
      </c>
    </row>
    <row r="1136" spans="1:6" x14ac:dyDescent="0.25">
      <c r="A1136" s="5" t="s">
        <v>735</v>
      </c>
      <c r="B1136" s="5">
        <v>0.12735849056603774</v>
      </c>
      <c r="C1136" s="5">
        <v>0.34433962264150941</v>
      </c>
      <c r="D1136" s="5">
        <v>0.47169811320754718</v>
      </c>
      <c r="E1136" s="5">
        <v>3.7735849056603772E-2</v>
      </c>
      <c r="F1136" s="5">
        <v>1.8867924528301886E-2</v>
      </c>
    </row>
    <row r="1137" spans="1:6" x14ac:dyDescent="0.25">
      <c r="A1137" s="5" t="s">
        <v>736</v>
      </c>
      <c r="B1137" s="5">
        <v>0.13207547169811321</v>
      </c>
      <c r="C1137" s="5">
        <v>0.37735849056603776</v>
      </c>
      <c r="D1137" s="5">
        <v>0.44339622641509435</v>
      </c>
      <c r="E1137" s="5">
        <v>3.3018867924528301E-2</v>
      </c>
      <c r="F1137" s="5">
        <v>1.4150943396226415E-2</v>
      </c>
    </row>
    <row r="1138" spans="1:6" x14ac:dyDescent="0.25">
      <c r="A1138" s="5" t="s">
        <v>737</v>
      </c>
      <c r="B1138" s="5">
        <v>0.11320754716981132</v>
      </c>
      <c r="C1138" s="5">
        <v>0.35849056603773582</v>
      </c>
      <c r="D1138" s="5">
        <v>0.44339622641509435</v>
      </c>
      <c r="E1138" s="5">
        <v>6.6037735849056603E-2</v>
      </c>
      <c r="F1138" s="5">
        <v>1.8867924528301886E-2</v>
      </c>
    </row>
    <row r="1141" spans="1:6" x14ac:dyDescent="0.25">
      <c r="A1141" s="32" t="s">
        <v>749</v>
      </c>
    </row>
    <row r="1142" spans="1:6" x14ac:dyDescent="0.25">
      <c r="A1142" s="58"/>
      <c r="B1142" s="53" t="s">
        <v>738</v>
      </c>
      <c r="C1142" s="53" t="s">
        <v>446</v>
      </c>
      <c r="D1142" s="53" t="s">
        <v>739</v>
      </c>
      <c r="E1142" s="53" t="s">
        <v>828</v>
      </c>
      <c r="F1142" s="53" t="s">
        <v>741</v>
      </c>
    </row>
    <row r="1143" spans="1:6" x14ac:dyDescent="0.25">
      <c r="A1143" s="58" t="s">
        <v>743</v>
      </c>
      <c r="B1143" s="5">
        <v>0.33796296296296297</v>
      </c>
      <c r="C1143" s="5">
        <v>0.39351851851851855</v>
      </c>
      <c r="D1143" s="5">
        <v>0.12037037037037036</v>
      </c>
      <c r="E1143" s="5">
        <v>9.7222222222222224E-2</v>
      </c>
      <c r="F1143" s="5">
        <v>5.0925925925925923E-2</v>
      </c>
    </row>
    <row r="1144" spans="1:6" x14ac:dyDescent="0.25">
      <c r="A1144" s="58" t="s">
        <v>744</v>
      </c>
      <c r="B1144" s="5">
        <v>0.2638888888888889</v>
      </c>
      <c r="C1144" s="5">
        <v>0.43055555555555558</v>
      </c>
      <c r="D1144" s="5">
        <v>0.18981481481481483</v>
      </c>
      <c r="E1144" s="5">
        <v>7.407407407407407E-2</v>
      </c>
      <c r="F1144" s="5">
        <v>4.1666666666666664E-2</v>
      </c>
    </row>
    <row r="1145" spans="1:6" x14ac:dyDescent="0.25">
      <c r="A1145" s="58" t="s">
        <v>745</v>
      </c>
      <c r="B1145" s="5">
        <v>0.32718894009216593</v>
      </c>
      <c r="C1145" s="5">
        <v>0.44700460829493088</v>
      </c>
      <c r="D1145" s="5">
        <v>0.13364055299539171</v>
      </c>
      <c r="E1145" s="5">
        <v>5.9907834101382486E-2</v>
      </c>
      <c r="F1145" s="5">
        <v>3.2258064516129031E-2</v>
      </c>
    </row>
    <row r="1146" spans="1:6" x14ac:dyDescent="0.25">
      <c r="A1146" s="58" t="s">
        <v>746</v>
      </c>
      <c r="B1146" s="5">
        <v>0.16981132075471697</v>
      </c>
      <c r="C1146" s="5">
        <v>0.35849056603773582</v>
      </c>
      <c r="D1146" s="5">
        <v>0.21226415094339623</v>
      </c>
      <c r="E1146" s="5">
        <v>0.19811320754716982</v>
      </c>
      <c r="F1146" s="5">
        <v>6.1320754716981132E-2</v>
      </c>
    </row>
    <row r="1147" spans="1:6" x14ac:dyDescent="0.25">
      <c r="A1147" s="58" t="s">
        <v>747</v>
      </c>
      <c r="B1147" s="5">
        <v>0.29439252336448596</v>
      </c>
      <c r="C1147" s="5">
        <v>0.43925233644859812</v>
      </c>
      <c r="D1147" s="5">
        <v>0.22429906542056074</v>
      </c>
      <c r="E1147" s="5">
        <v>1.8691588785046728E-2</v>
      </c>
      <c r="F1147" s="5">
        <v>2.336448598130841E-2</v>
      </c>
    </row>
    <row r="1148" spans="1:6" x14ac:dyDescent="0.25">
      <c r="A1148" s="58" t="s">
        <v>748</v>
      </c>
      <c r="B1148" s="5">
        <v>0.33640552995391704</v>
      </c>
      <c r="C1148" s="5">
        <v>0.52073732718894006</v>
      </c>
      <c r="D1148" s="5">
        <v>9.2165898617511524E-2</v>
      </c>
      <c r="E1148" s="5">
        <v>3.2258064516129031E-2</v>
      </c>
      <c r="F1148" s="5">
        <v>1.8433179723502304E-2</v>
      </c>
    </row>
    <row r="1151" spans="1:6" x14ac:dyDescent="0.25">
      <c r="A1151" s="3" t="s">
        <v>750</v>
      </c>
    </row>
    <row r="1153" spans="1:6" x14ac:dyDescent="0.25">
      <c r="A1153" s="17" t="s">
        <v>751</v>
      </c>
    </row>
    <row r="1155" spans="1:6" x14ac:dyDescent="0.25">
      <c r="A1155" s="58"/>
      <c r="B1155" s="53" t="s">
        <v>145</v>
      </c>
      <c r="C1155" s="53" t="s">
        <v>146</v>
      </c>
      <c r="D1155" s="53" t="s">
        <v>147</v>
      </c>
      <c r="E1155" s="53" t="s">
        <v>148</v>
      </c>
    </row>
    <row r="1156" spans="1:6" x14ac:dyDescent="0.25">
      <c r="A1156" s="53" t="s">
        <v>753</v>
      </c>
      <c r="B1156" s="5">
        <v>8.5308056872037921E-2</v>
      </c>
      <c r="C1156" s="5">
        <v>0.14218009478672985</v>
      </c>
      <c r="D1156" s="5">
        <v>0.33175355450236965</v>
      </c>
      <c r="E1156" s="5">
        <v>0.44075829383886256</v>
      </c>
    </row>
    <row r="1157" spans="1:6" x14ac:dyDescent="0.25">
      <c r="A1157" s="53" t="s">
        <v>830</v>
      </c>
      <c r="B1157" s="5">
        <v>0.15165876777251186</v>
      </c>
      <c r="C1157" s="5">
        <v>0.26540284360189575</v>
      </c>
      <c r="D1157" s="5">
        <v>0.36492890995260663</v>
      </c>
      <c r="E1157" s="5">
        <v>0.21800947867298578</v>
      </c>
    </row>
    <row r="1158" spans="1:6" x14ac:dyDescent="0.25">
      <c r="A1158" s="53" t="s">
        <v>755</v>
      </c>
      <c r="B1158" s="5">
        <v>9.4786729857819899E-2</v>
      </c>
      <c r="C1158" s="5">
        <v>0.20379146919431279</v>
      </c>
      <c r="D1158" s="5">
        <v>0.38388625592417064</v>
      </c>
      <c r="E1158" s="5">
        <v>0.31753554502369669</v>
      </c>
    </row>
    <row r="1159" spans="1:6" x14ac:dyDescent="0.25">
      <c r="A1159" s="53" t="s">
        <v>756</v>
      </c>
      <c r="B1159" s="5">
        <v>9.4786729857819899E-2</v>
      </c>
      <c r="C1159" s="5">
        <v>0.16113744075829384</v>
      </c>
      <c r="D1159" s="5">
        <v>0.3981042654028436</v>
      </c>
      <c r="E1159" s="5">
        <v>0.34597156398104267</v>
      </c>
    </row>
    <row r="1162" spans="1:6" x14ac:dyDescent="0.25">
      <c r="A1162" s="55" t="s">
        <v>757</v>
      </c>
    </row>
    <row r="1163" spans="1:6" ht="30" x14ac:dyDescent="0.25">
      <c r="A1163" s="5"/>
      <c r="B1163" s="29" t="s">
        <v>178</v>
      </c>
      <c r="C1163" s="29" t="s">
        <v>179</v>
      </c>
      <c r="D1163" s="29" t="s">
        <v>679</v>
      </c>
      <c r="E1163" s="29" t="s">
        <v>181</v>
      </c>
      <c r="F1163" s="29" t="s">
        <v>240</v>
      </c>
    </row>
    <row r="1164" spans="1:6" x14ac:dyDescent="0.25">
      <c r="A1164" s="5" t="s">
        <v>758</v>
      </c>
      <c r="B1164" s="5">
        <v>0.40740740740740738</v>
      </c>
      <c r="C1164" s="5">
        <v>0.34259259259259262</v>
      </c>
      <c r="D1164" s="5">
        <v>0.18981481481481483</v>
      </c>
      <c r="E1164" s="5">
        <v>4.1666666666666664E-2</v>
      </c>
      <c r="F1164" s="5">
        <v>1.8518518518518517E-2</v>
      </c>
    </row>
    <row r="1165" spans="1:6" x14ac:dyDescent="0.25">
      <c r="A1165" s="5" t="s">
        <v>759</v>
      </c>
      <c r="B1165" s="5">
        <v>0.13084112149532709</v>
      </c>
      <c r="C1165" s="5">
        <v>0.20560747663551401</v>
      </c>
      <c r="D1165" s="5">
        <v>0.20560747663551401</v>
      </c>
      <c r="E1165" s="5">
        <v>0.17757009345794392</v>
      </c>
      <c r="F1165" s="5">
        <v>0.28037383177570091</v>
      </c>
    </row>
    <row r="1166" spans="1:6" x14ac:dyDescent="0.25">
      <c r="A1166" s="5" t="s">
        <v>760</v>
      </c>
      <c r="B1166" s="5">
        <v>0.25116279069767444</v>
      </c>
      <c r="C1166" s="5">
        <v>0.27906976744186046</v>
      </c>
      <c r="D1166" s="5">
        <v>0.23720930232558141</v>
      </c>
      <c r="E1166" s="5">
        <v>0.12093023255813953</v>
      </c>
      <c r="F1166" s="5">
        <v>0.11162790697674418</v>
      </c>
    </row>
    <row r="1167" spans="1:6" x14ac:dyDescent="0.25">
      <c r="A1167" s="5" t="s">
        <v>761</v>
      </c>
      <c r="B1167" s="5">
        <v>0.15887850467289719</v>
      </c>
      <c r="C1167" s="5">
        <v>0.15887850467289719</v>
      </c>
      <c r="D1167" s="5">
        <v>0.24299065420560748</v>
      </c>
      <c r="E1167" s="5">
        <v>0.14953271028037382</v>
      </c>
      <c r="F1167" s="5">
        <v>0.28971962616822428</v>
      </c>
    </row>
    <row r="1168" spans="1:6" x14ac:dyDescent="0.25">
      <c r="A1168" s="5" t="s">
        <v>762</v>
      </c>
      <c r="B1168" s="5">
        <v>9.3896713615023469E-2</v>
      </c>
      <c r="C1168" s="5">
        <v>0.13145539906103287</v>
      </c>
      <c r="D1168" s="5">
        <v>0.27230046948356806</v>
      </c>
      <c r="E1168" s="5">
        <v>0.27230046948356806</v>
      </c>
      <c r="F1168" s="5">
        <v>0.2300469483568075</v>
      </c>
    </row>
    <row r="1169" spans="1:6" x14ac:dyDescent="0.25">
      <c r="A1169" s="5" t="s">
        <v>763</v>
      </c>
      <c r="B1169" s="5">
        <v>0.14761904761904762</v>
      </c>
      <c r="C1169" s="5">
        <v>0.19047619047619047</v>
      </c>
      <c r="D1169" s="5">
        <v>0.23333333333333334</v>
      </c>
      <c r="E1169" s="5">
        <v>0.22857142857142856</v>
      </c>
      <c r="F1169" s="5">
        <v>0.2</v>
      </c>
    </row>
    <row r="1170" spans="1:6" x14ac:dyDescent="0.25">
      <c r="A1170" s="5" t="s">
        <v>831</v>
      </c>
      <c r="B1170" s="5">
        <v>4.2056074766355138E-2</v>
      </c>
      <c r="C1170" s="5">
        <v>7.0093457943925228E-2</v>
      </c>
      <c r="D1170" s="5">
        <v>0.16355140186915887</v>
      </c>
      <c r="E1170" s="5">
        <v>0.20093457943925233</v>
      </c>
      <c r="F1170" s="5">
        <v>0.52336448598130836</v>
      </c>
    </row>
    <row r="1171" spans="1:6" x14ac:dyDescent="0.25">
      <c r="A1171" s="5" t="s">
        <v>832</v>
      </c>
      <c r="B1171" s="5">
        <v>3.7209302325581395E-2</v>
      </c>
      <c r="C1171" s="5">
        <v>3.7209302325581395E-2</v>
      </c>
      <c r="D1171" s="5">
        <v>0.17674418604651163</v>
      </c>
      <c r="E1171" s="5">
        <v>0.27906976744186046</v>
      </c>
      <c r="F1171" s="5">
        <v>0.4697674418604651</v>
      </c>
    </row>
    <row r="1174" spans="1:6" x14ac:dyDescent="0.25">
      <c r="A1174" s="32" t="s">
        <v>766</v>
      </c>
    </row>
    <row r="1175" spans="1:6" x14ac:dyDescent="0.25">
      <c r="A1175" s="5"/>
      <c r="B1175" s="5" t="s">
        <v>97</v>
      </c>
      <c r="C1175" s="5" t="s">
        <v>98</v>
      </c>
      <c r="D1175" s="5" t="s">
        <v>99</v>
      </c>
      <c r="E1175" s="5" t="s">
        <v>100</v>
      </c>
    </row>
    <row r="1176" spans="1:6" x14ac:dyDescent="0.25">
      <c r="A1176" s="5" t="s">
        <v>767</v>
      </c>
      <c r="B1176" s="5">
        <v>3.3816425120772944E-2</v>
      </c>
      <c r="C1176" s="5">
        <v>0.27053140096618356</v>
      </c>
      <c r="D1176" s="5">
        <v>0.37681159420289856</v>
      </c>
      <c r="E1176" s="5">
        <v>0.3188405797101449</v>
      </c>
    </row>
    <row r="1177" spans="1:6" x14ac:dyDescent="0.25">
      <c r="A1177" s="5" t="s">
        <v>833</v>
      </c>
      <c r="B1177" s="5">
        <v>0.20095693779904306</v>
      </c>
      <c r="C1177" s="5">
        <v>0.26315789473684209</v>
      </c>
      <c r="D1177" s="5">
        <v>0.37799043062200954</v>
      </c>
      <c r="E1177" s="5">
        <v>0.15789473684210525</v>
      </c>
    </row>
    <row r="1178" spans="1:6" x14ac:dyDescent="0.25">
      <c r="A1178" s="5" t="s">
        <v>769</v>
      </c>
      <c r="B1178" s="5">
        <v>1.4423076923076924E-2</v>
      </c>
      <c r="C1178" s="5">
        <v>6.7307692307692304E-2</v>
      </c>
      <c r="D1178" s="5">
        <v>0.21153846153846154</v>
      </c>
      <c r="E1178" s="5">
        <v>0.70673076923076927</v>
      </c>
    </row>
    <row r="1179" spans="1:6" x14ac:dyDescent="0.25">
      <c r="A1179" s="5" t="s">
        <v>834</v>
      </c>
      <c r="B1179" s="5">
        <v>2.1505376344086023E-2</v>
      </c>
      <c r="C1179" s="5">
        <v>0.22043010752688172</v>
      </c>
      <c r="D1179" s="5">
        <v>0.27956989247311825</v>
      </c>
      <c r="E1179" s="5">
        <v>0.478494623655914</v>
      </c>
    </row>
    <row r="1182" spans="1:6" x14ac:dyDescent="0.25">
      <c r="A1182" s="32" t="s">
        <v>774</v>
      </c>
    </row>
    <row r="1183" spans="1:6" x14ac:dyDescent="0.25">
      <c r="A1183" s="5"/>
      <c r="B1183" s="5" t="s">
        <v>145</v>
      </c>
      <c r="C1183" s="5" t="s">
        <v>146</v>
      </c>
      <c r="D1183" s="5" t="s">
        <v>147</v>
      </c>
      <c r="E1183" s="5" t="s">
        <v>148</v>
      </c>
    </row>
    <row r="1184" spans="1:6" x14ac:dyDescent="0.25">
      <c r="A1184" s="5" t="s">
        <v>772</v>
      </c>
      <c r="B1184" s="5">
        <v>0.30046948356807512</v>
      </c>
      <c r="C1184" s="5">
        <v>0.16431924882629109</v>
      </c>
      <c r="D1184" s="5">
        <v>0.27230046948356806</v>
      </c>
      <c r="E1184" s="5">
        <v>0.26291079812206575</v>
      </c>
    </row>
    <row r="1185" spans="1:6" x14ac:dyDescent="0.25">
      <c r="A1185" s="5" t="s">
        <v>773</v>
      </c>
      <c r="B1185" s="5">
        <v>1.8867924528301886E-2</v>
      </c>
      <c r="C1185" s="5">
        <v>6.6037735849056603E-2</v>
      </c>
      <c r="D1185" s="5">
        <v>0.17452830188679244</v>
      </c>
      <c r="E1185" s="5">
        <v>0.74056603773584906</v>
      </c>
    </row>
    <row r="1188" spans="1:6" x14ac:dyDescent="0.25">
      <c r="A1188" s="3" t="s">
        <v>775</v>
      </c>
    </row>
    <row r="1190" spans="1:6" x14ac:dyDescent="0.25">
      <c r="A1190" s="17" t="s">
        <v>781</v>
      </c>
    </row>
    <row r="1191" spans="1:6" x14ac:dyDescent="0.25">
      <c r="A1191" s="5"/>
      <c r="B1191" s="5" t="s">
        <v>779</v>
      </c>
      <c r="C1191" s="5" t="s">
        <v>250</v>
      </c>
      <c r="D1191" s="5" t="s">
        <v>251</v>
      </c>
      <c r="E1191" s="5" t="s">
        <v>780</v>
      </c>
      <c r="F1191" s="5" t="s">
        <v>717</v>
      </c>
    </row>
    <row r="1192" spans="1:6" x14ac:dyDescent="0.25">
      <c r="A1192" s="5" t="s">
        <v>777</v>
      </c>
      <c r="B1192" s="5">
        <v>0.22727272727272727</v>
      </c>
      <c r="C1192" s="5">
        <v>0.36363636363636365</v>
      </c>
      <c r="D1192" s="5">
        <v>0.20454545454545456</v>
      </c>
      <c r="E1192" s="5">
        <v>9.0909090909090912E-2</v>
      </c>
      <c r="F1192" s="5">
        <v>0.11363636363636363</v>
      </c>
    </row>
    <row r="1193" spans="1:6" x14ac:dyDescent="0.25">
      <c r="A1193" s="5" t="s">
        <v>778</v>
      </c>
      <c r="B1193" s="5">
        <v>9.0909090909090912E-2</v>
      </c>
      <c r="C1193" s="5">
        <v>0.18181818181818182</v>
      </c>
      <c r="D1193" s="5">
        <v>0.29545454545454547</v>
      </c>
      <c r="E1193" s="5">
        <v>0.27272727272727271</v>
      </c>
      <c r="F1193" s="5">
        <v>0.15909090909090909</v>
      </c>
    </row>
    <row r="1196" spans="1:6" x14ac:dyDescent="0.25">
      <c r="A1196" s="17" t="s">
        <v>782</v>
      </c>
    </row>
    <row r="1198" spans="1:6" x14ac:dyDescent="0.25">
      <c r="A1198" s="5"/>
      <c r="B1198" s="5" t="s">
        <v>779</v>
      </c>
      <c r="C1198" s="5" t="s">
        <v>250</v>
      </c>
      <c r="D1198" s="5" t="s">
        <v>251</v>
      </c>
      <c r="E1198" s="5" t="s">
        <v>780</v>
      </c>
      <c r="F1198" s="5" t="s">
        <v>717</v>
      </c>
    </row>
    <row r="1199" spans="1:6" x14ac:dyDescent="0.25">
      <c r="A1199" s="5" t="s">
        <v>835</v>
      </c>
      <c r="B1199" s="5">
        <v>0.44186046511627908</v>
      </c>
      <c r="C1199" s="5">
        <v>0.37209302325581395</v>
      </c>
      <c r="D1199" s="5">
        <v>9.3023255813953487E-2</v>
      </c>
      <c r="E1199" s="5">
        <v>2.3255813953488372E-2</v>
      </c>
      <c r="F1199" s="5">
        <v>6.9767441860465115E-2</v>
      </c>
    </row>
    <row r="1200" spans="1:6" x14ac:dyDescent="0.25">
      <c r="A1200" s="5" t="s">
        <v>784</v>
      </c>
      <c r="B1200" s="5">
        <v>0.18604651162790697</v>
      </c>
      <c r="C1200" s="5">
        <v>0.32558139534883723</v>
      </c>
      <c r="D1200" s="5">
        <v>0.30232558139534882</v>
      </c>
      <c r="E1200" s="5">
        <v>9.3023255813953487E-2</v>
      </c>
      <c r="F1200" s="5">
        <v>9.3023255813953487E-2</v>
      </c>
    </row>
    <row r="1201" spans="1:6" x14ac:dyDescent="0.25">
      <c r="A1201" s="5" t="s">
        <v>785</v>
      </c>
      <c r="B1201" s="5">
        <v>0.2558139534883721</v>
      </c>
      <c r="C1201" s="5">
        <v>0.41860465116279072</v>
      </c>
      <c r="D1201" s="5">
        <v>0.13953488372093023</v>
      </c>
      <c r="E1201" s="5">
        <v>9.3023255813953487E-2</v>
      </c>
      <c r="F1201" s="5">
        <v>9.3023255813953487E-2</v>
      </c>
    </row>
    <row r="1202" spans="1:6" x14ac:dyDescent="0.25">
      <c r="A1202" s="5" t="s">
        <v>786</v>
      </c>
      <c r="B1202" s="5">
        <v>0.23255813953488372</v>
      </c>
      <c r="C1202" s="5">
        <v>0.44186046511627908</v>
      </c>
      <c r="D1202" s="5">
        <v>0.13953488372093023</v>
      </c>
      <c r="E1202" s="5">
        <v>9.3023255813953487E-2</v>
      </c>
      <c r="F1202" s="5">
        <v>9.3023255813953487E-2</v>
      </c>
    </row>
    <row r="1203" spans="1:6" x14ac:dyDescent="0.25">
      <c r="A1203" s="5" t="s">
        <v>787</v>
      </c>
      <c r="B1203" s="5">
        <v>0.30232558139534882</v>
      </c>
      <c r="C1203" s="5">
        <v>0.34883720930232559</v>
      </c>
      <c r="D1203" s="5">
        <v>0.16279069767441862</v>
      </c>
      <c r="E1203" s="5">
        <v>9.3023255813953487E-2</v>
      </c>
      <c r="F1203" s="5">
        <v>9.3023255813953487E-2</v>
      </c>
    </row>
    <row r="1204" spans="1:6" x14ac:dyDescent="0.25">
      <c r="A1204" s="5" t="s">
        <v>788</v>
      </c>
      <c r="B1204" s="5">
        <v>0.18604651162790697</v>
      </c>
      <c r="C1204" s="5">
        <v>0.37209302325581395</v>
      </c>
      <c r="D1204" s="5">
        <v>0.23255813953488372</v>
      </c>
      <c r="E1204" s="5">
        <v>9.3023255813953487E-2</v>
      </c>
      <c r="F1204" s="5">
        <v>0.11627906976744186</v>
      </c>
    </row>
    <row r="1205" spans="1:6" x14ac:dyDescent="0.25">
      <c r="A1205" s="5" t="s">
        <v>789</v>
      </c>
      <c r="B1205" s="5">
        <v>0.46511627906976744</v>
      </c>
      <c r="C1205" s="5">
        <v>0.44186046511627908</v>
      </c>
      <c r="D1205" s="5">
        <v>6.9767441860465115E-2</v>
      </c>
      <c r="E1205" s="5">
        <v>0</v>
      </c>
      <c r="F1205" s="5">
        <v>2.3255813953488372E-2</v>
      </c>
    </row>
    <row r="1206" spans="1:6" x14ac:dyDescent="0.25">
      <c r="A1206" s="5" t="s">
        <v>790</v>
      </c>
      <c r="B1206" s="5">
        <v>0.44186046511627908</v>
      </c>
      <c r="C1206" s="5">
        <v>0.27906976744186046</v>
      </c>
      <c r="D1206" s="5">
        <v>0.20930232558139536</v>
      </c>
      <c r="E1206" s="5">
        <v>2.3255813953488372E-2</v>
      </c>
      <c r="F1206" s="5">
        <v>4.6511627906976744E-2</v>
      </c>
    </row>
    <row r="1207" spans="1:6" x14ac:dyDescent="0.25">
      <c r="A1207" s="5" t="s">
        <v>791</v>
      </c>
      <c r="B1207" s="5">
        <v>0.58139534883720934</v>
      </c>
      <c r="C1207" s="5">
        <v>0.32558139534883723</v>
      </c>
      <c r="D1207" s="5">
        <v>4.6511627906976744E-2</v>
      </c>
      <c r="E1207" s="5">
        <v>2.3255813953488372E-2</v>
      </c>
      <c r="F1207" s="5">
        <v>2.3255813953488372E-2</v>
      </c>
    </row>
    <row r="1208" spans="1:6" x14ac:dyDescent="0.25">
      <c r="A1208" s="5" t="s">
        <v>792</v>
      </c>
      <c r="B1208" s="5">
        <v>0.46511627906976744</v>
      </c>
      <c r="C1208" s="5">
        <v>0.30232558139534882</v>
      </c>
      <c r="D1208" s="5">
        <v>0.16279069767441862</v>
      </c>
      <c r="E1208" s="5">
        <v>4.6511627906976744E-2</v>
      </c>
      <c r="F1208" s="5">
        <v>2.3255813953488372E-2</v>
      </c>
    </row>
    <row r="1211" spans="1:6" x14ac:dyDescent="0.25">
      <c r="A1211" s="32" t="s">
        <v>798</v>
      </c>
    </row>
    <row r="1212" spans="1:6" ht="30" x14ac:dyDescent="0.25">
      <c r="A1212" s="53"/>
      <c r="B1212" s="53" t="s">
        <v>97</v>
      </c>
      <c r="C1212" s="53" t="s">
        <v>98</v>
      </c>
      <c r="D1212" s="53" t="s">
        <v>739</v>
      </c>
      <c r="E1212" s="53" t="s">
        <v>99</v>
      </c>
      <c r="F1212" s="53" t="s">
        <v>100</v>
      </c>
    </row>
    <row r="1213" spans="1:6" x14ac:dyDescent="0.25">
      <c r="A1213" s="53" t="s">
        <v>794</v>
      </c>
      <c r="B1213" s="29">
        <v>2.2727272727272728E-2</v>
      </c>
      <c r="C1213" s="29">
        <v>0.38636363636363635</v>
      </c>
      <c r="D1213" s="29">
        <v>0.5</v>
      </c>
      <c r="E1213" s="29">
        <v>9.0909090909090912E-2</v>
      </c>
      <c r="F1213" s="29">
        <v>0</v>
      </c>
    </row>
    <row r="1214" spans="1:6" ht="30" x14ac:dyDescent="0.25">
      <c r="A1214" s="53" t="s">
        <v>836</v>
      </c>
      <c r="B1214" s="29">
        <v>9.3023255813953487E-2</v>
      </c>
      <c r="C1214" s="29">
        <v>0.51162790697674421</v>
      </c>
      <c r="D1214" s="29">
        <v>0.32558139534883723</v>
      </c>
      <c r="E1214" s="29">
        <v>6.9767441860465115E-2</v>
      </c>
      <c r="F1214" s="29">
        <v>0</v>
      </c>
    </row>
    <row r="1215" spans="1:6" x14ac:dyDescent="0.25">
      <c r="A1215" s="53" t="s">
        <v>796</v>
      </c>
      <c r="B1215" s="29">
        <v>2.2727272727272728E-2</v>
      </c>
      <c r="C1215" s="29">
        <v>0.56818181818181823</v>
      </c>
      <c r="D1215" s="29">
        <v>0.31818181818181818</v>
      </c>
      <c r="E1215" s="29">
        <v>9.0909090909090912E-2</v>
      </c>
      <c r="F1215" s="29">
        <v>0</v>
      </c>
    </row>
    <row r="1216" spans="1:6" x14ac:dyDescent="0.25">
      <c r="A1216" s="53" t="s">
        <v>797</v>
      </c>
      <c r="B1216" s="29">
        <v>2.2727272727272728E-2</v>
      </c>
      <c r="C1216" s="29">
        <v>0.54545454545454541</v>
      </c>
      <c r="D1216" s="29">
        <v>0.36363636363636365</v>
      </c>
      <c r="E1216" s="29">
        <v>6.8181818181818177E-2</v>
      </c>
      <c r="F1216" s="29">
        <v>0</v>
      </c>
    </row>
    <row r="1219" spans="1:6" x14ac:dyDescent="0.25">
      <c r="A1219" s="55" t="s">
        <v>799</v>
      </c>
    </row>
    <row r="1220" spans="1:6" ht="30" x14ac:dyDescent="0.25">
      <c r="A1220" s="29"/>
      <c r="B1220" s="29" t="s">
        <v>178</v>
      </c>
      <c r="C1220" s="29" t="s">
        <v>179</v>
      </c>
      <c r="D1220" s="29" t="s">
        <v>180</v>
      </c>
      <c r="E1220" s="29" t="s">
        <v>181</v>
      </c>
      <c r="F1220" s="29" t="s">
        <v>182</v>
      </c>
    </row>
    <row r="1221" spans="1:6" x14ac:dyDescent="0.25">
      <c r="A1221" s="29" t="s">
        <v>800</v>
      </c>
      <c r="B1221" s="29">
        <v>0.41860465116279072</v>
      </c>
      <c r="C1221" s="29">
        <v>0.18604651162790697</v>
      </c>
      <c r="D1221" s="29">
        <v>0.30232558139534882</v>
      </c>
      <c r="E1221" s="29">
        <v>4.6511627906976744E-2</v>
      </c>
      <c r="F1221" s="29">
        <v>4.6511627906976744E-2</v>
      </c>
    </row>
    <row r="1222" spans="1:6" x14ac:dyDescent="0.25">
      <c r="A1222" s="29" t="s">
        <v>801</v>
      </c>
      <c r="B1222" s="29">
        <v>0.44186046511627908</v>
      </c>
      <c r="C1222" s="29">
        <v>0.39534883720930231</v>
      </c>
      <c r="D1222" s="29">
        <v>6.9767441860465115E-2</v>
      </c>
      <c r="E1222" s="29">
        <v>4.6511627906976744E-2</v>
      </c>
      <c r="F1222" s="29">
        <v>4.6511627906976744E-2</v>
      </c>
    </row>
  </sheetData>
  <mergeCells count="5">
    <mergeCell ref="A1:G1"/>
    <mergeCell ref="A2:G2"/>
    <mergeCell ref="D356:E356"/>
    <mergeCell ref="F356:G356"/>
    <mergeCell ref="A4:F4"/>
  </mergeCells>
  <hyperlinks>
    <hyperlink ref="A9" location="'1'!A1" display="1. In what year did you receive your first academic appointment?"/>
    <hyperlink ref="A14" location="'2'!A1" display="2. In what year were you first appointed at this institution?"/>
    <hyperlink ref="A29" location="'4 '!A1" display="4. What is your tenure status at this institution?"/>
    <hyperlink ref="A37" location="'4 '!A1" display="4a. In what year did you receive tenure?"/>
    <hyperlink ref="A45" location="'6'!A1" display="6. Are you considered a full-time employee of your institution for at least nine months of the current academic year?"/>
    <hyperlink ref="A52" location="'6'!A1" display="6a. If given the choice, I would prefer to work full-time at this institution."/>
    <hyperlink ref="A59" location="'6'!A1" display="6b. Have you ever sought a full-time teaching position at this or another institution?"/>
    <hyperlink ref="A66" location="'6'!A1" display="6bi. How long ago did you pursue a full-time position?"/>
    <hyperlink ref="A76" location="'6'!A1" display="6c. Is your full-time professional career outside academia?"/>
    <hyperlink ref="A83" location="'6'!A1" display="6d. In considering your reasons for teaching part-time at this institution, please indicate your agreement with the following statements:"/>
    <hyperlink ref="A94" location="'6'!A1" display="6e. Mark all institutional resources available to you in your last term as part-time faculty."/>
    <hyperlink ref="A105" location="'6'!A1" display="6f. Please indicate your agreement with the following statements:"/>
    <hyperlink ref="A122" location="'6'!A1" display="6g. Aside from this institution, at how many other institutions do you teach?"/>
    <hyperlink ref="A132" location="'6'!A1" display="6h. For the current term, how far in advance of the beginning of the term did you receive your course assignments?"/>
    <hyperlink ref="A156" location="'9'!A1" display="9. Personally, how important to you is:"/>
    <hyperlink ref="A162" location="'10'!A1" display="10. How many courses are you teaching this term (include all institutions at which you teach)?"/>
    <hyperlink ref="A178" location="'10'!A1" display="10a. How many of the courses that you are teaching this term are:"/>
    <hyperlink ref="A187" location="'10'!A1" display="10b. How many of these that you are teaching this term are being taught:"/>
    <hyperlink ref="A191" location="'10'!A1" display="10c. What types of courses do you primarily teach? "/>
    <hyperlink ref="A212" location="'12'!A1" display="12a. In the past year, to what extent have you: "/>
    <hyperlink ref="A222" location="'12'!A1" display="12b. In the past year: "/>
    <hyperlink ref="A228" location="'12'!A1" display="12c. In the past year, how many letters of recommendation have you written for graduate students?"/>
    <hyperlink ref="A231" location="'12'!A1" display="12d. Rate your agreement with the following statements:"/>
    <hyperlink ref="A244" location="'13'!A1" display="13. During the last three year, have you:"/>
    <hyperlink ref="A261" location="'14'!A1" display="14. During the past three years, have you: "/>
    <hyperlink ref="A272" location="'15'!A1" display="15. In the past year, to what extent have you:"/>
    <hyperlink ref="A315" location="'18'!A1" display="18. During the past year, how often have you done each of the following with your undergraduate advisees?"/>
    <hyperlink ref="A324" location="'19'!A1" display="19. During the past year, have you taken advantage of any of the following professional development opportunities provided by this institution?"/>
    <hyperlink ref="A339" location="'20'!A1" display="20. How many of the following have you published?"/>
    <hyperlink ref="A348" location="'21'!A1" display="21. In the past three years, how many exhibitions or performances in the fine or applied arts have you presented?"/>
    <hyperlink ref="A384" location="'23'!A1" display="23. During the present term, how many hours per week on average do you spend on each of the following?"/>
    <hyperlink ref="A401" location="'24'!A1" display="24. In your interactions with undergraduates, how often in the past year did you encourage them to: (Mark one for each item)"/>
    <hyperlink ref="A417" location="'25'!A1" display="25. How frequently in the courses you taught in the past year have you given at least one assignment that required students to: "/>
    <hyperlink ref="A425" location="'26'!A1" display="26. In how many of the courses that you teach do you use each of the following?"/>
    <hyperlink ref="A442" location="'27'!A1" display="27. In how many courses that you teach do you use each of the following?"/>
    <hyperlink ref="A455" location="'28'!A1" display="28. How frequently do you incorporate the following forms of technology into your courses?"/>
    <hyperlink ref="A465" location="'29'!A1" display="29. Please indicate the extent to which you agree it is your role to:"/>
    <hyperlink ref="A479" location="'30'!A1" display="30. Please indicate your agreement with each of the following statements:"/>
    <hyperlink ref="A491" location="'31'!A1" display="31. Below are some statements about your college or university. Indicate the extent to which you agree or disagree with each of the following: "/>
    <hyperlink ref="A515" location="'32'!A1" display="32. Indicate how important you believe each priority listed below is at your college or university."/>
    <hyperlink ref="A537" location="'33'!A1" display="33. Please indicate the extent to which you: "/>
    <hyperlink ref="A550" location="'33'!A1" display="33a. How would you rate the overal quality of your mentoring relationships with your faculty mentee(s)?"/>
    <hyperlink ref="A560" location="'33'!A1" display="33b. How would you rate the overall quality of your mentoring relationship with your undergraduate mentee(s)?"/>
    <hyperlink ref="A570" location="'33'!A1" display="33c. How would you rate your overall quality of your mentoring relationship with your graduate mentee(s)?"/>
    <hyperlink ref="A580" location="'34'!A1" display="34. How satisfied are you with the following aspects of your job? "/>
    <hyperlink ref="A600" location="'35'!A1" display="35. Please indicate the extent to which each of the following has been a source of stress for you during the past year:"/>
    <hyperlink ref="A628" location="'37'!A1" display="37. In the past year, have you:"/>
    <hyperlink ref="A638" location="'38'!A1" display="38. For each of the following items, please mark either Yes or No."/>
    <hyperlink ref="A664" location="Sheet7!A1" display="41. If given the choice, would you:"/>
    <hyperlink ref="A952" location="'47'!A1" display="47. Are you currently serving in an administrative position as:"/>
    <hyperlink ref="A966" location="'Mentor 1'!A1" display="1. How would you rate yourself as a mentor in the following areas:"/>
    <hyperlink ref="A1010" location="Mentor!A1" display="4. To what extent do you work with your undergraduat ementees on the following: "/>
    <hyperlink ref="A1017" location="Mentor!A1" display="5. To what extent have you:"/>
    <hyperlink ref="A1059" location="Mentor!A1" display="8. To what extent do you work with your graduate mentees on the following:"/>
    <hyperlink ref="A1065" location="Mentor!A1" display="9. To what extent have you: "/>
    <hyperlink ref="A1088" location="Mentor!A1" display="12. To want extent do you work with your faculty mentees on the following:"/>
    <hyperlink ref="A1096" location="Mentor!A1" display="13. To what extent have you:"/>
    <hyperlink ref="A1105" location="'Campus Climate'!A1" display="1. Please indicate the extent to which you agree or disagree with the following statements. UNO:"/>
    <hyperlink ref="A1113" location="'Campus Climate'!A1" display="2. Please indicate how often at this institution you have: "/>
    <hyperlink ref="A1130" location="'Campus Climate'!A1" display="3. How satisfied are you with the following aspects of your institution?"/>
    <hyperlink ref="A1141" location="'Campus Climate'!A1" display="4. Please rate your satisfaction with your department in each area:"/>
    <hyperlink ref="A1153" location="Spirituality!A1" display="1. Indicate the important to you of each of the following education goals for undergraduate students:"/>
    <hyperlink ref="A1162" location="Spirituality!A1" display="2. Indicate the extent to which you:"/>
    <hyperlink ref="A1174" location="Spirituality!A1" display="3. Please indicate your agreement with each of the following statements:"/>
    <hyperlink ref="A1182" location="Spirituality!A1" display="4. Indicate the importance to you personally of each of the following:"/>
    <hyperlink ref="A1190" location="Spirituality!A1" display="1. In the courses you have taught in the past year, how often do you: "/>
    <hyperlink ref="A1196" location="STEM!A1" display="2. In the STEM courses you have taught in the past year, how often do you encourage students to:"/>
    <hyperlink ref="A1211" location="STEM!A1" display="3. To what extent are the following statements true of you: "/>
    <hyperlink ref="A1219" location="STEM!A1" display="4. To what extent do you structure your STEM courses so that students:"/>
  </hyperlinks>
  <pageMargins left="0.7" right="0.7" top="0.75" bottom="0.75" header="0.3" footer="0.3"/>
  <pageSetup orientation="landscape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H7" sqref="H7"/>
    </sheetView>
  </sheetViews>
  <sheetFormatPr defaultRowHeight="15" x14ac:dyDescent="0.25"/>
  <cols>
    <col min="1" max="1" width="60.140625" style="124" customWidth="1"/>
    <col min="2" max="6" width="9.140625" style="56"/>
    <col min="7" max="7" width="39.7109375" style="56" customWidth="1"/>
    <col min="8" max="16384" width="9.140625" style="56"/>
  </cols>
  <sheetData>
    <row r="1" spans="1:10" x14ac:dyDescent="0.25">
      <c r="A1" s="124" t="s">
        <v>228</v>
      </c>
    </row>
    <row r="2" spans="1:10" x14ac:dyDescent="0.25">
      <c r="A2" s="53"/>
      <c r="B2" s="58" t="s">
        <v>81</v>
      </c>
      <c r="C2" s="58" t="s">
        <v>80</v>
      </c>
      <c r="D2" s="58" t="s">
        <v>53</v>
      </c>
      <c r="G2" s="53"/>
      <c r="H2" s="58" t="s">
        <v>81</v>
      </c>
      <c r="I2" s="58" t="s">
        <v>80</v>
      </c>
      <c r="J2" s="58" t="s">
        <v>53</v>
      </c>
    </row>
    <row r="3" spans="1:10" x14ac:dyDescent="0.25">
      <c r="A3" s="53" t="s">
        <v>229</v>
      </c>
      <c r="B3" s="58">
        <v>83</v>
      </c>
      <c r="C3" s="58">
        <v>262</v>
      </c>
      <c r="D3" s="58">
        <f>SUM(B3:C3)</f>
        <v>345</v>
      </c>
      <c r="G3" s="53" t="s">
        <v>229</v>
      </c>
      <c r="H3" s="5">
        <f>B3/345</f>
        <v>0.24057971014492754</v>
      </c>
      <c r="I3" s="5">
        <f t="shared" ref="I3:J3" si="0">C3/345</f>
        <v>0.75942028985507248</v>
      </c>
      <c r="J3" s="5">
        <f t="shared" si="0"/>
        <v>1</v>
      </c>
    </row>
    <row r="4" spans="1:10" x14ac:dyDescent="0.25">
      <c r="A4" s="53" t="s">
        <v>807</v>
      </c>
      <c r="B4" s="58">
        <v>131</v>
      </c>
      <c r="C4" s="58">
        <v>210</v>
      </c>
      <c r="D4" s="58">
        <f t="shared" ref="D4:D10" si="1">SUM(B4:C4)</f>
        <v>341</v>
      </c>
      <c r="G4" s="53" t="s">
        <v>807</v>
      </c>
      <c r="H4" s="5">
        <f>B4/341</f>
        <v>0.38416422287390029</v>
      </c>
      <c r="I4" s="5">
        <f t="shared" ref="I4:J4" si="2">C4/341</f>
        <v>0.61583577712609971</v>
      </c>
      <c r="J4" s="5">
        <f t="shared" si="2"/>
        <v>1</v>
      </c>
    </row>
    <row r="5" spans="1:10" ht="45" x14ac:dyDescent="0.25">
      <c r="A5" s="53" t="s">
        <v>230</v>
      </c>
      <c r="B5" s="58">
        <v>49</v>
      </c>
      <c r="C5" s="58">
        <v>293</v>
      </c>
      <c r="D5" s="58">
        <f t="shared" si="1"/>
        <v>342</v>
      </c>
      <c r="G5" s="53" t="s">
        <v>230</v>
      </c>
      <c r="H5" s="5">
        <f>B5/342</f>
        <v>0.14327485380116958</v>
      </c>
      <c r="I5" s="5">
        <f t="shared" ref="I5:J5" si="3">C5/342</f>
        <v>0.85672514619883045</v>
      </c>
      <c r="J5" s="5">
        <f t="shared" si="3"/>
        <v>1</v>
      </c>
    </row>
    <row r="6" spans="1:10" x14ac:dyDescent="0.25">
      <c r="A6" s="53" t="s">
        <v>231</v>
      </c>
      <c r="B6" s="58">
        <v>79</v>
      </c>
      <c r="C6" s="58">
        <v>259</v>
      </c>
      <c r="D6" s="58">
        <f t="shared" si="1"/>
        <v>338</v>
      </c>
      <c r="G6" s="53" t="s">
        <v>231</v>
      </c>
      <c r="H6" s="5">
        <f>B6/338</f>
        <v>0.23372781065088757</v>
      </c>
      <c r="I6" s="5">
        <f t="shared" ref="I6:J6" si="4">C6/338</f>
        <v>0.76627218934911245</v>
      </c>
      <c r="J6" s="5">
        <f t="shared" si="4"/>
        <v>1</v>
      </c>
    </row>
    <row r="7" spans="1:10" x14ac:dyDescent="0.25">
      <c r="A7" s="53" t="s">
        <v>232</v>
      </c>
      <c r="B7" s="58">
        <v>130</v>
      </c>
      <c r="C7" s="58">
        <v>207</v>
      </c>
      <c r="D7" s="58">
        <f t="shared" si="1"/>
        <v>337</v>
      </c>
      <c r="G7" s="53" t="s">
        <v>232</v>
      </c>
      <c r="H7" s="5">
        <f>B7/337</f>
        <v>0.3857566765578635</v>
      </c>
      <c r="I7" s="5">
        <f t="shared" ref="I7:J7" si="5">C7/337</f>
        <v>0.6142433234421365</v>
      </c>
      <c r="J7" s="5">
        <f t="shared" si="5"/>
        <v>1</v>
      </c>
    </row>
    <row r="8" spans="1:10" ht="30" x14ac:dyDescent="0.25">
      <c r="A8" s="53" t="s">
        <v>808</v>
      </c>
      <c r="B8" s="58">
        <v>226</v>
      </c>
      <c r="C8" s="58">
        <v>119</v>
      </c>
      <c r="D8" s="58">
        <f t="shared" si="1"/>
        <v>345</v>
      </c>
      <c r="G8" s="53" t="s">
        <v>808</v>
      </c>
      <c r="H8" s="5">
        <f>B8/345</f>
        <v>0.6550724637681159</v>
      </c>
      <c r="I8" s="5">
        <f t="shared" ref="I8:J8" si="6">C8/345</f>
        <v>0.34492753623188405</v>
      </c>
      <c r="J8" s="5">
        <f t="shared" si="6"/>
        <v>1</v>
      </c>
    </row>
    <row r="9" spans="1:10" x14ac:dyDescent="0.25">
      <c r="A9" s="53" t="s">
        <v>233</v>
      </c>
      <c r="B9" s="58">
        <v>40</v>
      </c>
      <c r="C9" s="58">
        <v>301</v>
      </c>
      <c r="D9" s="58">
        <f t="shared" si="1"/>
        <v>341</v>
      </c>
      <c r="G9" s="53" t="s">
        <v>233</v>
      </c>
      <c r="H9" s="5">
        <f>B9/341</f>
        <v>0.11730205278592376</v>
      </c>
      <c r="I9" s="5">
        <f t="shared" ref="I9:J9" si="7">C9/341</f>
        <v>0.88269794721407624</v>
      </c>
      <c r="J9" s="5">
        <f t="shared" si="7"/>
        <v>1</v>
      </c>
    </row>
    <row r="10" spans="1:10" ht="45" x14ac:dyDescent="0.25">
      <c r="A10" s="53" t="s">
        <v>234</v>
      </c>
      <c r="B10" s="58">
        <v>276</v>
      </c>
      <c r="C10" s="58">
        <v>69</v>
      </c>
      <c r="D10" s="58">
        <f t="shared" si="1"/>
        <v>345</v>
      </c>
      <c r="G10" s="53" t="s">
        <v>234</v>
      </c>
      <c r="H10" s="5">
        <f>B10/345</f>
        <v>0.8</v>
      </c>
      <c r="I10" s="5">
        <f t="shared" ref="I10:J10" si="8">C10/345</f>
        <v>0.2</v>
      </c>
      <c r="J10" s="5">
        <f t="shared" si="8"/>
        <v>1</v>
      </c>
    </row>
  </sheetData>
  <pageMargins left="0.7" right="0.7" top="0.75" bottom="0.75" header="0.3" footer="0.3"/>
  <ignoredErrors>
    <ignoredError sqref="H9:I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J4" sqref="J4:O4"/>
    </sheetView>
  </sheetViews>
  <sheetFormatPr defaultRowHeight="15" x14ac:dyDescent="0.25"/>
  <cols>
    <col min="1" max="1" width="51.85546875" bestFit="1" customWidth="1"/>
    <col min="2" max="2" width="15.85546875" customWidth="1"/>
    <col min="3" max="3" width="11.5703125" customWidth="1"/>
    <col min="4" max="4" width="11.85546875" customWidth="1"/>
    <col min="5" max="5" width="12.7109375" customWidth="1"/>
    <col min="6" max="6" width="9.28515625" bestFit="1" customWidth="1"/>
    <col min="7" max="7" width="5.42578125" bestFit="1" customWidth="1"/>
    <col min="9" max="9" width="51.85546875" bestFit="1" customWidth="1"/>
  </cols>
  <sheetData>
    <row r="1" spans="1:15" x14ac:dyDescent="0.25">
      <c r="A1" t="s">
        <v>236</v>
      </c>
    </row>
    <row r="2" spans="1:15" s="20" customFormat="1" ht="45" x14ac:dyDescent="0.25">
      <c r="A2" s="18"/>
      <c r="B2" s="19" t="s">
        <v>178</v>
      </c>
      <c r="C2" s="19" t="s">
        <v>179</v>
      </c>
      <c r="D2" s="19" t="s">
        <v>180</v>
      </c>
      <c r="E2" s="19" t="s">
        <v>181</v>
      </c>
      <c r="F2" s="19" t="s">
        <v>240</v>
      </c>
      <c r="G2" s="19" t="s">
        <v>53</v>
      </c>
      <c r="I2" s="18"/>
      <c r="J2" s="19" t="s">
        <v>178</v>
      </c>
      <c r="K2" s="19" t="s">
        <v>179</v>
      </c>
      <c r="L2" s="19" t="s">
        <v>180</v>
      </c>
      <c r="M2" s="19" t="s">
        <v>181</v>
      </c>
      <c r="N2" s="19" t="s">
        <v>240</v>
      </c>
      <c r="O2" s="19" t="s">
        <v>53</v>
      </c>
    </row>
    <row r="3" spans="1:15" x14ac:dyDescent="0.25">
      <c r="A3" s="4" t="s">
        <v>237</v>
      </c>
      <c r="B3" s="4">
        <v>11</v>
      </c>
      <c r="C3" s="4">
        <v>13</v>
      </c>
      <c r="D3" s="4">
        <v>36</v>
      </c>
      <c r="E3" s="4">
        <v>18</v>
      </c>
      <c r="F3" s="4">
        <v>263</v>
      </c>
      <c r="G3" s="4">
        <f>SUM(B3:F3)</f>
        <v>341</v>
      </c>
      <c r="I3" s="4" t="s">
        <v>237</v>
      </c>
      <c r="J3" s="5">
        <f>B3/341</f>
        <v>3.2258064516129031E-2</v>
      </c>
      <c r="K3" s="5">
        <f t="shared" ref="K3:O3" si="0">C3/341</f>
        <v>3.8123167155425221E-2</v>
      </c>
      <c r="L3" s="5">
        <f t="shared" si="0"/>
        <v>0.10557184750733138</v>
      </c>
      <c r="M3" s="5">
        <f t="shared" si="0"/>
        <v>5.2785923753665691E-2</v>
      </c>
      <c r="N3" s="5">
        <f t="shared" si="0"/>
        <v>0.77126099706744866</v>
      </c>
      <c r="O3" s="5">
        <f t="shared" si="0"/>
        <v>1</v>
      </c>
    </row>
    <row r="4" spans="1:15" x14ac:dyDescent="0.25">
      <c r="A4" s="4" t="s">
        <v>238</v>
      </c>
      <c r="B4" s="4">
        <v>6</v>
      </c>
      <c r="C4" s="4">
        <v>6</v>
      </c>
      <c r="D4" s="4">
        <v>25</v>
      </c>
      <c r="E4" s="4">
        <v>12</v>
      </c>
      <c r="F4" s="4">
        <v>286</v>
      </c>
      <c r="G4" s="4">
        <f t="shared" ref="G4:G6" si="1">SUM(B4:F4)</f>
        <v>335</v>
      </c>
      <c r="I4" s="4" t="s">
        <v>238</v>
      </c>
      <c r="J4" s="5">
        <f>B4/335</f>
        <v>1.7910447761194031E-2</v>
      </c>
      <c r="K4" s="5">
        <f t="shared" ref="K4:O4" si="2">C4/335</f>
        <v>1.7910447761194031E-2</v>
      </c>
      <c r="L4" s="5">
        <f t="shared" si="2"/>
        <v>7.4626865671641784E-2</v>
      </c>
      <c r="M4" s="5">
        <f t="shared" si="2"/>
        <v>3.5820895522388062E-2</v>
      </c>
      <c r="N4" s="5">
        <f t="shared" si="2"/>
        <v>0.85373134328358213</v>
      </c>
      <c r="O4" s="5">
        <f t="shared" si="2"/>
        <v>1</v>
      </c>
    </row>
    <row r="5" spans="1:15" x14ac:dyDescent="0.25">
      <c r="A5" s="4" t="s">
        <v>809</v>
      </c>
      <c r="B5" s="4">
        <v>28</v>
      </c>
      <c r="C5" s="4">
        <v>21</v>
      </c>
      <c r="D5" s="4">
        <v>60</v>
      </c>
      <c r="E5" s="4">
        <v>28</v>
      </c>
      <c r="F5" s="4">
        <v>204</v>
      </c>
      <c r="G5" s="4">
        <f t="shared" si="1"/>
        <v>341</v>
      </c>
      <c r="I5" s="4" t="s">
        <v>809</v>
      </c>
      <c r="J5" s="5">
        <f>B5/341</f>
        <v>8.2111436950146624E-2</v>
      </c>
      <c r="K5" s="5">
        <f t="shared" ref="K5:O5" si="3">C5/341</f>
        <v>6.1583577712609971E-2</v>
      </c>
      <c r="L5" s="5">
        <f t="shared" si="3"/>
        <v>0.17595307917888564</v>
      </c>
      <c r="M5" s="5">
        <f t="shared" si="3"/>
        <v>8.2111436950146624E-2</v>
      </c>
      <c r="N5" s="5">
        <f t="shared" si="3"/>
        <v>0.59824046920821117</v>
      </c>
      <c r="O5" s="5">
        <f t="shared" si="3"/>
        <v>1</v>
      </c>
    </row>
    <row r="6" spans="1:15" x14ac:dyDescent="0.25">
      <c r="A6" s="4" t="s">
        <v>239</v>
      </c>
      <c r="B6" s="4">
        <v>33</v>
      </c>
      <c r="C6" s="4">
        <v>35</v>
      </c>
      <c r="D6" s="4">
        <v>69</v>
      </c>
      <c r="E6" s="4">
        <v>42</v>
      </c>
      <c r="F6" s="4">
        <v>165</v>
      </c>
      <c r="G6" s="4">
        <f t="shared" si="1"/>
        <v>344</v>
      </c>
      <c r="I6" s="4" t="s">
        <v>239</v>
      </c>
      <c r="J6" s="5">
        <f>B6/344</f>
        <v>9.5930232558139539E-2</v>
      </c>
      <c r="K6" s="5">
        <f t="shared" ref="K6:O6" si="4">C6/344</f>
        <v>0.10174418604651163</v>
      </c>
      <c r="L6" s="5">
        <f t="shared" si="4"/>
        <v>0.2005813953488372</v>
      </c>
      <c r="M6" s="5">
        <f t="shared" si="4"/>
        <v>0.12209302325581395</v>
      </c>
      <c r="N6" s="5">
        <f t="shared" si="4"/>
        <v>0.47965116279069769</v>
      </c>
      <c r="O6" s="5">
        <f t="shared" si="4"/>
        <v>1</v>
      </c>
    </row>
  </sheetData>
  <pageMargins left="0.7" right="0.7" top="0.75" bottom="0.75" header="0.3" footer="0.3"/>
  <ignoredErrors>
    <ignoredError sqref="J4:O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35" sqref="D35"/>
    </sheetView>
  </sheetViews>
  <sheetFormatPr defaultRowHeight="15" x14ac:dyDescent="0.25"/>
  <cols>
    <col min="1" max="1" width="74.5703125" customWidth="1"/>
    <col min="2" max="2" width="10.7109375" bestFit="1" customWidth="1"/>
    <col min="3" max="3" width="12" bestFit="1" customWidth="1"/>
    <col min="4" max="4" width="9.28515625" bestFit="1" customWidth="1"/>
    <col min="8" max="8" width="75.7109375" customWidth="1"/>
    <col min="9" max="9" width="10.7109375" bestFit="1" customWidth="1"/>
    <col min="10" max="10" width="12" bestFit="1" customWidth="1"/>
  </cols>
  <sheetData>
    <row r="1" spans="1:12" x14ac:dyDescent="0.25">
      <c r="A1" t="s">
        <v>248</v>
      </c>
    </row>
    <row r="3" spans="1:12" x14ac:dyDescent="0.25">
      <c r="A3" s="4"/>
      <c r="B3" s="4" t="s">
        <v>250</v>
      </c>
      <c r="C3" s="4" t="s">
        <v>251</v>
      </c>
      <c r="D3" s="4" t="s">
        <v>252</v>
      </c>
      <c r="E3" s="4" t="s">
        <v>53</v>
      </c>
      <c r="H3" s="4"/>
      <c r="I3" s="4" t="s">
        <v>250</v>
      </c>
      <c r="J3" s="4" t="s">
        <v>251</v>
      </c>
      <c r="K3" s="4" t="s">
        <v>252</v>
      </c>
      <c r="L3" s="4" t="s">
        <v>53</v>
      </c>
    </row>
    <row r="4" spans="1:12" ht="30" x14ac:dyDescent="0.25">
      <c r="A4" s="18" t="s">
        <v>249</v>
      </c>
      <c r="B4" s="4">
        <v>65</v>
      </c>
      <c r="C4" s="4">
        <v>47</v>
      </c>
      <c r="D4" s="4">
        <v>10</v>
      </c>
      <c r="E4" s="4">
        <f>SUM(B4:D4)</f>
        <v>122</v>
      </c>
      <c r="H4" s="18" t="s">
        <v>249</v>
      </c>
      <c r="I4" s="5">
        <f>B4/122</f>
        <v>0.53278688524590168</v>
      </c>
      <c r="J4" s="5">
        <f t="shared" ref="J4:L4" si="0">C4/122</f>
        <v>0.38524590163934425</v>
      </c>
      <c r="K4" s="5">
        <f t="shared" si="0"/>
        <v>8.1967213114754092E-2</v>
      </c>
      <c r="L4" s="5">
        <f t="shared" si="0"/>
        <v>1</v>
      </c>
    </row>
    <row r="5" spans="1:12" x14ac:dyDescent="0.25">
      <c r="A5" s="18" t="s">
        <v>253</v>
      </c>
      <c r="B5" s="4">
        <v>70</v>
      </c>
      <c r="C5" s="4">
        <v>41</v>
      </c>
      <c r="D5" s="4">
        <v>9</v>
      </c>
      <c r="E5" s="4">
        <f>SUM(B5:D5)</f>
        <v>120</v>
      </c>
      <c r="H5" s="18" t="s">
        <v>253</v>
      </c>
      <c r="I5" s="5">
        <f>B5/120</f>
        <v>0.58333333333333337</v>
      </c>
      <c r="J5" s="5">
        <f t="shared" ref="J5:L8" si="1">C5/120</f>
        <v>0.34166666666666667</v>
      </c>
      <c r="K5" s="5">
        <f t="shared" si="1"/>
        <v>7.4999999999999997E-2</v>
      </c>
      <c r="L5" s="5">
        <f t="shared" si="1"/>
        <v>1</v>
      </c>
    </row>
    <row r="6" spans="1:12" x14ac:dyDescent="0.25">
      <c r="A6" s="18" t="s">
        <v>254</v>
      </c>
      <c r="B6" s="4">
        <v>76</v>
      </c>
      <c r="C6" s="4">
        <v>34</v>
      </c>
      <c r="D6" s="4">
        <v>10</v>
      </c>
      <c r="E6" s="4">
        <f>SUM(B6:D6)</f>
        <v>120</v>
      </c>
      <c r="H6" s="18" t="s">
        <v>254</v>
      </c>
      <c r="I6" s="5">
        <f>B6/120</f>
        <v>0.6333333333333333</v>
      </c>
      <c r="J6" s="5">
        <f t="shared" si="1"/>
        <v>0.28333333333333333</v>
      </c>
      <c r="K6" s="5">
        <f t="shared" si="1"/>
        <v>8.3333333333333329E-2</v>
      </c>
      <c r="L6" s="5">
        <f t="shared" si="1"/>
        <v>1</v>
      </c>
    </row>
    <row r="7" spans="1:12" ht="30" x14ac:dyDescent="0.25">
      <c r="A7" s="18" t="s">
        <v>255</v>
      </c>
      <c r="B7" s="4">
        <v>66</v>
      </c>
      <c r="C7" s="4">
        <v>44</v>
      </c>
      <c r="D7" s="4">
        <v>10</v>
      </c>
      <c r="E7" s="4">
        <f>SUM(B7:D7)</f>
        <v>120</v>
      </c>
      <c r="H7" s="18" t="s">
        <v>255</v>
      </c>
      <c r="I7" s="5">
        <f>B7/120</f>
        <v>0.55000000000000004</v>
      </c>
      <c r="J7" s="5">
        <f t="shared" si="1"/>
        <v>0.36666666666666664</v>
      </c>
      <c r="K7" s="5">
        <f t="shared" si="1"/>
        <v>8.3333333333333329E-2</v>
      </c>
      <c r="L7" s="5">
        <f t="shared" si="1"/>
        <v>1</v>
      </c>
    </row>
    <row r="8" spans="1:12" x14ac:dyDescent="0.25">
      <c r="A8" s="18" t="s">
        <v>256</v>
      </c>
      <c r="B8" s="4">
        <v>87</v>
      </c>
      <c r="C8" s="4">
        <v>31</v>
      </c>
      <c r="D8" s="4">
        <v>2</v>
      </c>
      <c r="E8" s="4">
        <f>SUM(B8:D8)</f>
        <v>120</v>
      </c>
      <c r="H8" s="18" t="s">
        <v>256</v>
      </c>
      <c r="I8" s="5">
        <f>B8/120</f>
        <v>0.72499999999999998</v>
      </c>
      <c r="J8" s="5">
        <f t="shared" si="1"/>
        <v>0.25833333333333336</v>
      </c>
      <c r="K8" s="5">
        <f t="shared" si="1"/>
        <v>1.6666666666666666E-2</v>
      </c>
      <c r="L8" s="5">
        <f t="shared" si="1"/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K3" sqref="J3:K8"/>
    </sheetView>
  </sheetViews>
  <sheetFormatPr defaultRowHeight="15" x14ac:dyDescent="0.25"/>
  <cols>
    <col min="1" max="1" width="47.42578125" customWidth="1"/>
    <col min="4" max="4" width="12" customWidth="1"/>
    <col min="5" max="5" width="12.85546875" customWidth="1"/>
    <col min="9" max="9" width="37.85546875" customWidth="1"/>
  </cols>
  <sheetData>
    <row r="1" spans="1:14" x14ac:dyDescent="0.25">
      <c r="A1" t="s">
        <v>257</v>
      </c>
    </row>
    <row r="3" spans="1:14" x14ac:dyDescent="0.25">
      <c r="A3" s="4"/>
      <c r="B3" s="4" t="s">
        <v>81</v>
      </c>
      <c r="C3" s="4" t="s">
        <v>80</v>
      </c>
      <c r="D3" s="4" t="s">
        <v>268</v>
      </c>
      <c r="E3" s="4" t="s">
        <v>269</v>
      </c>
      <c r="F3" s="4" t="s">
        <v>53</v>
      </c>
      <c r="I3" s="4"/>
      <c r="J3" s="4" t="s">
        <v>81</v>
      </c>
      <c r="K3" s="4" t="s">
        <v>80</v>
      </c>
      <c r="L3" s="4" t="s">
        <v>268</v>
      </c>
      <c r="M3" s="4" t="s">
        <v>269</v>
      </c>
      <c r="N3" s="4" t="s">
        <v>53</v>
      </c>
    </row>
    <row r="4" spans="1:14" x14ac:dyDescent="0.25">
      <c r="A4" s="18" t="s">
        <v>258</v>
      </c>
      <c r="B4" s="4">
        <v>158</v>
      </c>
      <c r="C4" s="4">
        <v>139</v>
      </c>
      <c r="D4" s="4">
        <v>16</v>
      </c>
      <c r="E4" s="4">
        <v>22</v>
      </c>
      <c r="F4" s="4">
        <f>SUM(B4:E4)</f>
        <v>335</v>
      </c>
      <c r="I4" s="18" t="s">
        <v>258</v>
      </c>
      <c r="J4" s="5">
        <f>B4/335</f>
        <v>0.4716417910447761</v>
      </c>
      <c r="K4" s="5">
        <f t="shared" ref="K4:N4" si="0">C4/335</f>
        <v>0.41492537313432837</v>
      </c>
      <c r="L4" s="5">
        <f t="shared" si="0"/>
        <v>4.7761194029850747E-2</v>
      </c>
      <c r="M4" s="5">
        <f t="shared" si="0"/>
        <v>6.5671641791044774E-2</v>
      </c>
      <c r="N4" s="5">
        <f t="shared" si="0"/>
        <v>1</v>
      </c>
    </row>
    <row r="5" spans="1:14" ht="30" x14ac:dyDescent="0.25">
      <c r="A5" s="18" t="s">
        <v>259</v>
      </c>
      <c r="B5" s="4">
        <v>48</v>
      </c>
      <c r="C5" s="4">
        <v>226</v>
      </c>
      <c r="D5" s="4">
        <v>23</v>
      </c>
      <c r="E5" s="4">
        <v>36</v>
      </c>
      <c r="F5" s="4">
        <f t="shared" ref="F5:F13" si="1">SUM(B5:E5)</f>
        <v>333</v>
      </c>
      <c r="I5" s="18" t="s">
        <v>259</v>
      </c>
      <c r="J5" s="5">
        <f>B5/333</f>
        <v>0.14414414414414414</v>
      </c>
      <c r="K5" s="5">
        <f t="shared" ref="K5:N5" si="2">C5/333</f>
        <v>0.6786786786786787</v>
      </c>
      <c r="L5" s="5">
        <f t="shared" si="2"/>
        <v>6.9069069069069067E-2</v>
      </c>
      <c r="M5" s="5">
        <f t="shared" si="2"/>
        <v>0.10810810810810811</v>
      </c>
      <c r="N5" s="5">
        <f t="shared" si="2"/>
        <v>1</v>
      </c>
    </row>
    <row r="6" spans="1:14" ht="30" x14ac:dyDescent="0.25">
      <c r="A6" s="18" t="s">
        <v>260</v>
      </c>
      <c r="B6" s="4">
        <v>22</v>
      </c>
      <c r="C6" s="4">
        <v>249</v>
      </c>
      <c r="D6" s="4">
        <v>27</v>
      </c>
      <c r="E6" s="4">
        <v>32</v>
      </c>
      <c r="F6" s="4">
        <f t="shared" si="1"/>
        <v>330</v>
      </c>
      <c r="I6" s="18" t="s">
        <v>260</v>
      </c>
      <c r="J6" s="5">
        <f>B6/330</f>
        <v>6.6666666666666666E-2</v>
      </c>
      <c r="K6" s="5">
        <f t="shared" ref="K6:N6" si="3">C6/330</f>
        <v>0.75454545454545452</v>
      </c>
      <c r="L6" s="5">
        <f t="shared" si="3"/>
        <v>8.1818181818181818E-2</v>
      </c>
      <c r="M6" s="5">
        <f t="shared" si="3"/>
        <v>9.696969696969697E-2</v>
      </c>
      <c r="N6" s="5">
        <f t="shared" si="3"/>
        <v>1</v>
      </c>
    </row>
    <row r="7" spans="1:14" x14ac:dyDescent="0.25">
      <c r="A7" s="18" t="s">
        <v>261</v>
      </c>
      <c r="B7" s="4">
        <v>24</v>
      </c>
      <c r="C7" s="4">
        <v>193</v>
      </c>
      <c r="D7" s="4">
        <v>82</v>
      </c>
      <c r="E7" s="4">
        <v>33</v>
      </c>
      <c r="F7" s="4">
        <f t="shared" si="1"/>
        <v>332</v>
      </c>
      <c r="I7" s="18" t="s">
        <v>261</v>
      </c>
      <c r="J7" s="5">
        <f>B7/332</f>
        <v>7.2289156626506021E-2</v>
      </c>
      <c r="K7" s="5">
        <f t="shared" ref="K7:N7" si="4">C7/332</f>
        <v>0.58132530120481929</v>
      </c>
      <c r="L7" s="5">
        <f t="shared" si="4"/>
        <v>0.24698795180722891</v>
      </c>
      <c r="M7" s="5">
        <f t="shared" si="4"/>
        <v>9.9397590361445784E-2</v>
      </c>
      <c r="N7" s="5">
        <f t="shared" si="4"/>
        <v>1</v>
      </c>
    </row>
    <row r="8" spans="1:14" x14ac:dyDescent="0.25">
      <c r="A8" s="18" t="s">
        <v>262</v>
      </c>
      <c r="B8" s="4">
        <v>164</v>
      </c>
      <c r="C8" s="4">
        <v>107</v>
      </c>
      <c r="D8" s="4">
        <v>35</v>
      </c>
      <c r="E8" s="4">
        <v>23</v>
      </c>
      <c r="F8" s="4">
        <f t="shared" si="1"/>
        <v>329</v>
      </c>
      <c r="I8" s="18" t="s">
        <v>262</v>
      </c>
      <c r="J8" s="5">
        <f>B8/329</f>
        <v>0.49848024316109424</v>
      </c>
      <c r="K8" s="5">
        <f t="shared" ref="K8:N8" si="5">C8/329</f>
        <v>0.32522796352583588</v>
      </c>
      <c r="L8" s="5">
        <f t="shared" si="5"/>
        <v>0.10638297872340426</v>
      </c>
      <c r="M8" s="5">
        <f t="shared" si="5"/>
        <v>6.9908814589665649E-2</v>
      </c>
      <c r="N8" s="5">
        <f t="shared" si="5"/>
        <v>1</v>
      </c>
    </row>
    <row r="9" spans="1:14" x14ac:dyDescent="0.25">
      <c r="A9" s="18" t="s">
        <v>263</v>
      </c>
      <c r="B9" s="4">
        <v>83</v>
      </c>
      <c r="C9" s="4">
        <v>188</v>
      </c>
      <c r="D9" s="4">
        <v>39</v>
      </c>
      <c r="E9" s="4">
        <v>23</v>
      </c>
      <c r="F9" s="4">
        <f t="shared" si="1"/>
        <v>333</v>
      </c>
      <c r="I9" s="18" t="s">
        <v>263</v>
      </c>
      <c r="J9" s="5">
        <f>B9/333</f>
        <v>0.24924924924924924</v>
      </c>
      <c r="K9" s="5">
        <f t="shared" ref="K9:N9" si="6">C9/333</f>
        <v>0.56456456456456461</v>
      </c>
      <c r="L9" s="5">
        <f t="shared" si="6"/>
        <v>0.11711711711711711</v>
      </c>
      <c r="M9" s="5">
        <f t="shared" si="6"/>
        <v>6.9069069069069067E-2</v>
      </c>
      <c r="N9" s="5">
        <f t="shared" si="6"/>
        <v>1</v>
      </c>
    </row>
    <row r="10" spans="1:14" x14ac:dyDescent="0.25">
      <c r="A10" s="18" t="s">
        <v>264</v>
      </c>
      <c r="B10" s="4">
        <v>42</v>
      </c>
      <c r="C10" s="4">
        <v>211</v>
      </c>
      <c r="D10" s="4">
        <v>47</v>
      </c>
      <c r="E10" s="4">
        <v>30</v>
      </c>
      <c r="F10" s="4">
        <f t="shared" si="1"/>
        <v>330</v>
      </c>
      <c r="I10" s="18" t="s">
        <v>264</v>
      </c>
      <c r="J10" s="5">
        <f>B10/330</f>
        <v>0.12727272727272726</v>
      </c>
      <c r="K10" s="5">
        <f t="shared" ref="K10:N10" si="7">C10/330</f>
        <v>0.6393939393939394</v>
      </c>
      <c r="L10" s="5">
        <f t="shared" si="7"/>
        <v>0.14242424242424243</v>
      </c>
      <c r="M10" s="5">
        <f t="shared" si="7"/>
        <v>9.0909090909090912E-2</v>
      </c>
      <c r="N10" s="5">
        <f t="shared" si="7"/>
        <v>1</v>
      </c>
    </row>
    <row r="11" spans="1:14" x14ac:dyDescent="0.25">
      <c r="A11" s="18" t="s">
        <v>265</v>
      </c>
      <c r="B11" s="4">
        <v>67</v>
      </c>
      <c r="C11" s="4">
        <v>194</v>
      </c>
      <c r="D11" s="4">
        <v>33</v>
      </c>
      <c r="E11" s="4">
        <v>40</v>
      </c>
      <c r="F11" s="4">
        <f t="shared" si="1"/>
        <v>334</v>
      </c>
      <c r="I11" s="18" t="s">
        <v>265</v>
      </c>
      <c r="J11" s="5">
        <f>B11/334</f>
        <v>0.20059880239520958</v>
      </c>
      <c r="K11" s="5">
        <f t="shared" ref="K11:N11" si="8">C11/334</f>
        <v>0.58083832335329344</v>
      </c>
      <c r="L11" s="5">
        <f t="shared" si="8"/>
        <v>9.880239520958084E-2</v>
      </c>
      <c r="M11" s="5">
        <f t="shared" si="8"/>
        <v>0.11976047904191617</v>
      </c>
      <c r="N11" s="5">
        <f t="shared" si="8"/>
        <v>1</v>
      </c>
    </row>
    <row r="12" spans="1:14" ht="30" x14ac:dyDescent="0.25">
      <c r="A12" s="18" t="s">
        <v>266</v>
      </c>
      <c r="B12" s="4">
        <v>69</v>
      </c>
      <c r="C12" s="4">
        <v>200</v>
      </c>
      <c r="D12" s="4">
        <v>27</v>
      </c>
      <c r="E12" s="4">
        <v>37</v>
      </c>
      <c r="F12" s="4">
        <f t="shared" si="1"/>
        <v>333</v>
      </c>
      <c r="I12" s="18" t="s">
        <v>266</v>
      </c>
      <c r="J12" s="5">
        <f>B12/333</f>
        <v>0.2072072072072072</v>
      </c>
      <c r="K12" s="5">
        <f t="shared" ref="K12:N12" si="9">C12/333</f>
        <v>0.60060060060060061</v>
      </c>
      <c r="L12" s="5">
        <f t="shared" si="9"/>
        <v>8.1081081081081086E-2</v>
      </c>
      <c r="M12" s="5">
        <f t="shared" si="9"/>
        <v>0.1111111111111111</v>
      </c>
      <c r="N12" s="5">
        <f t="shared" si="9"/>
        <v>1</v>
      </c>
    </row>
    <row r="13" spans="1:14" ht="30" x14ac:dyDescent="0.25">
      <c r="A13" s="18" t="s">
        <v>267</v>
      </c>
      <c r="B13" s="4">
        <v>53</v>
      </c>
      <c r="C13" s="4">
        <v>218</v>
      </c>
      <c r="D13" s="4">
        <v>24</v>
      </c>
      <c r="E13" s="4">
        <v>37</v>
      </c>
      <c r="F13" s="4">
        <f t="shared" si="1"/>
        <v>332</v>
      </c>
      <c r="I13" s="18" t="s">
        <v>267</v>
      </c>
      <c r="J13" s="5">
        <f>B13/332</f>
        <v>0.15963855421686746</v>
      </c>
      <c r="K13" s="5">
        <f t="shared" ref="K13:N13" si="10">C13/332</f>
        <v>0.65662650602409633</v>
      </c>
      <c r="L13" s="5">
        <f t="shared" si="10"/>
        <v>7.2289156626506021E-2</v>
      </c>
      <c r="M13" s="5">
        <f t="shared" si="10"/>
        <v>0.11144578313253012</v>
      </c>
      <c r="N13" s="5">
        <f t="shared" si="10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F1" workbookViewId="0">
      <selection activeCell="S2" sqref="S2:S6"/>
    </sheetView>
  </sheetViews>
  <sheetFormatPr defaultRowHeight="15" x14ac:dyDescent="0.25"/>
  <cols>
    <col min="1" max="1" width="47.85546875" bestFit="1" customWidth="1"/>
    <col min="12" max="12" width="46.28515625" customWidth="1"/>
  </cols>
  <sheetData>
    <row r="1" spans="1:20" x14ac:dyDescent="0.25">
      <c r="A1" t="s">
        <v>270</v>
      </c>
    </row>
    <row r="2" spans="1:20" x14ac:dyDescent="0.25">
      <c r="A2" s="4"/>
      <c r="B2" s="15" t="s">
        <v>152</v>
      </c>
      <c r="C2" s="15" t="s">
        <v>153</v>
      </c>
      <c r="D2" s="15" t="s">
        <v>276</v>
      </c>
      <c r="E2" s="15" t="s">
        <v>277</v>
      </c>
      <c r="F2" s="15" t="s">
        <v>278</v>
      </c>
      <c r="G2" s="15" t="s">
        <v>279</v>
      </c>
      <c r="H2" s="4" t="s">
        <v>275</v>
      </c>
      <c r="I2" s="15" t="s">
        <v>53</v>
      </c>
      <c r="L2" s="4"/>
      <c r="M2" s="15" t="s">
        <v>152</v>
      </c>
      <c r="N2" s="15" t="s">
        <v>153</v>
      </c>
      <c r="O2" s="15" t="s">
        <v>276</v>
      </c>
      <c r="P2" s="15" t="s">
        <v>277</v>
      </c>
      <c r="Q2" s="15" t="s">
        <v>278</v>
      </c>
      <c r="R2" s="15" t="s">
        <v>279</v>
      </c>
      <c r="S2" s="4" t="s">
        <v>275</v>
      </c>
      <c r="T2" s="15" t="s">
        <v>53</v>
      </c>
    </row>
    <row r="3" spans="1:20" x14ac:dyDescent="0.25">
      <c r="A3" s="4" t="s">
        <v>271</v>
      </c>
      <c r="B3" s="4">
        <v>54</v>
      </c>
      <c r="C3" s="4">
        <v>30</v>
      </c>
      <c r="D3" s="4">
        <v>55</v>
      </c>
      <c r="E3" s="4">
        <v>42</v>
      </c>
      <c r="F3" s="4">
        <v>43</v>
      </c>
      <c r="G3" s="4">
        <v>13</v>
      </c>
      <c r="H3" s="4">
        <v>95</v>
      </c>
      <c r="I3" s="4">
        <f>SUM(B3:H3)</f>
        <v>332</v>
      </c>
      <c r="L3" s="4" t="s">
        <v>271</v>
      </c>
      <c r="M3" s="5">
        <f>B3/332</f>
        <v>0.16265060240963855</v>
      </c>
      <c r="N3" s="5">
        <f t="shared" ref="N3:T3" si="0">C3/332</f>
        <v>9.036144578313253E-2</v>
      </c>
      <c r="O3" s="5">
        <f t="shared" si="0"/>
        <v>0.16566265060240964</v>
      </c>
      <c r="P3" s="5">
        <f t="shared" si="0"/>
        <v>0.12650602409638553</v>
      </c>
      <c r="Q3" s="5">
        <f t="shared" si="0"/>
        <v>0.12951807228915663</v>
      </c>
      <c r="R3" s="5">
        <f t="shared" si="0"/>
        <v>3.9156626506024098E-2</v>
      </c>
      <c r="S3" s="5">
        <f t="shared" si="0"/>
        <v>0.28614457831325302</v>
      </c>
      <c r="T3" s="5">
        <f t="shared" si="0"/>
        <v>1</v>
      </c>
    </row>
    <row r="4" spans="1:20" x14ac:dyDescent="0.25">
      <c r="A4" s="4" t="s">
        <v>272</v>
      </c>
      <c r="B4" s="4">
        <v>83</v>
      </c>
      <c r="C4" s="4">
        <v>42</v>
      </c>
      <c r="D4" s="4">
        <v>23</v>
      </c>
      <c r="E4" s="4">
        <v>6</v>
      </c>
      <c r="F4" s="4">
        <v>2</v>
      </c>
      <c r="G4" s="4">
        <v>3</v>
      </c>
      <c r="H4" s="4">
        <v>166</v>
      </c>
      <c r="I4" s="4">
        <f>SUM(B4:H4)</f>
        <v>325</v>
      </c>
      <c r="L4" s="4" t="s">
        <v>272</v>
      </c>
      <c r="M4" s="5">
        <f>B4/325</f>
        <v>0.25538461538461538</v>
      </c>
      <c r="N4" s="5">
        <f t="shared" ref="N4:T4" si="1">C4/325</f>
        <v>0.12923076923076923</v>
      </c>
      <c r="O4" s="5">
        <f t="shared" si="1"/>
        <v>7.0769230769230765E-2</v>
      </c>
      <c r="P4" s="5">
        <f t="shared" si="1"/>
        <v>1.8461538461538463E-2</v>
      </c>
      <c r="Q4" s="5">
        <f t="shared" si="1"/>
        <v>6.1538461538461538E-3</v>
      </c>
      <c r="R4" s="5">
        <f t="shared" si="1"/>
        <v>9.2307692307692316E-3</v>
      </c>
      <c r="S4" s="5">
        <f t="shared" si="1"/>
        <v>0.51076923076923075</v>
      </c>
      <c r="T4" s="5">
        <f t="shared" si="1"/>
        <v>1</v>
      </c>
    </row>
    <row r="5" spans="1:20" x14ac:dyDescent="0.25">
      <c r="A5" s="4" t="s">
        <v>273</v>
      </c>
      <c r="B5" s="4">
        <v>64</v>
      </c>
      <c r="C5" s="4">
        <v>17</v>
      </c>
      <c r="D5" s="4">
        <v>9</v>
      </c>
      <c r="E5" s="4">
        <v>4</v>
      </c>
      <c r="F5" s="4">
        <v>2</v>
      </c>
      <c r="G5" s="4">
        <v>1</v>
      </c>
      <c r="H5" s="4">
        <v>229</v>
      </c>
      <c r="I5" s="4">
        <f>SUM(B5:H5)</f>
        <v>326</v>
      </c>
      <c r="L5" s="4" t="s">
        <v>273</v>
      </c>
      <c r="M5" s="5">
        <f>B5/326</f>
        <v>0.19631901840490798</v>
      </c>
      <c r="N5" s="5">
        <f t="shared" ref="N5:T5" si="2">C5/326</f>
        <v>5.2147239263803678E-2</v>
      </c>
      <c r="O5" s="5">
        <f t="shared" si="2"/>
        <v>2.7607361963190184E-2</v>
      </c>
      <c r="P5" s="5">
        <f t="shared" si="2"/>
        <v>1.2269938650306749E-2</v>
      </c>
      <c r="Q5" s="5">
        <f t="shared" si="2"/>
        <v>6.1349693251533744E-3</v>
      </c>
      <c r="R5" s="5">
        <f t="shared" si="2"/>
        <v>3.0674846625766872E-3</v>
      </c>
      <c r="S5" s="5">
        <f t="shared" si="2"/>
        <v>0.7024539877300614</v>
      </c>
      <c r="T5" s="5">
        <f t="shared" si="2"/>
        <v>1</v>
      </c>
    </row>
    <row r="6" spans="1:20" x14ac:dyDescent="0.25">
      <c r="A6" s="4" t="s">
        <v>274</v>
      </c>
      <c r="B6" s="4">
        <v>26</v>
      </c>
      <c r="C6" s="4">
        <v>11</v>
      </c>
      <c r="D6" s="4">
        <v>11</v>
      </c>
      <c r="E6" s="4">
        <v>3</v>
      </c>
      <c r="F6" s="4">
        <v>2</v>
      </c>
      <c r="G6" s="4">
        <v>2</v>
      </c>
      <c r="H6" s="4">
        <v>260</v>
      </c>
      <c r="I6" s="4">
        <f>SUM(B6:H6)</f>
        <v>315</v>
      </c>
      <c r="L6" s="4" t="s">
        <v>274</v>
      </c>
      <c r="M6" s="5">
        <f>B6/315</f>
        <v>8.2539682539682538E-2</v>
      </c>
      <c r="N6" s="5">
        <f t="shared" ref="N6:T6" si="3">C6/315</f>
        <v>3.4920634920634921E-2</v>
      </c>
      <c r="O6" s="5">
        <f t="shared" si="3"/>
        <v>3.4920634920634921E-2</v>
      </c>
      <c r="P6" s="5">
        <f t="shared" si="3"/>
        <v>9.5238095238095247E-3</v>
      </c>
      <c r="Q6" s="5">
        <f t="shared" si="3"/>
        <v>6.3492063492063492E-3</v>
      </c>
      <c r="R6" s="5">
        <f t="shared" si="3"/>
        <v>6.3492063492063492E-3</v>
      </c>
      <c r="S6" s="5">
        <f t="shared" si="3"/>
        <v>0.82539682539682535</v>
      </c>
      <c r="T6" s="5">
        <f t="shared" si="3"/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K3" sqref="J3:K8"/>
    </sheetView>
  </sheetViews>
  <sheetFormatPr defaultRowHeight="15" x14ac:dyDescent="0.25"/>
  <cols>
    <col min="1" max="1" width="42.42578125" customWidth="1"/>
    <col min="9" max="9" width="32.42578125" customWidth="1"/>
  </cols>
  <sheetData>
    <row r="1" spans="1:15" x14ac:dyDescent="0.25">
      <c r="A1" t="s">
        <v>280</v>
      </c>
    </row>
    <row r="3" spans="1:15" x14ac:dyDescent="0.25">
      <c r="A3" s="4"/>
      <c r="B3" s="15" t="s">
        <v>152</v>
      </c>
      <c r="C3" s="15" t="s">
        <v>153</v>
      </c>
      <c r="D3" s="15" t="s">
        <v>276</v>
      </c>
      <c r="E3" s="15" t="s">
        <v>277</v>
      </c>
      <c r="F3" s="15" t="s">
        <v>281</v>
      </c>
      <c r="G3" s="15" t="s">
        <v>53</v>
      </c>
      <c r="I3" s="4"/>
      <c r="J3" s="15" t="s">
        <v>152</v>
      </c>
      <c r="K3" s="15" t="s">
        <v>153</v>
      </c>
      <c r="L3" s="15" t="s">
        <v>276</v>
      </c>
      <c r="M3" s="15" t="s">
        <v>277</v>
      </c>
      <c r="N3" s="15" t="s">
        <v>281</v>
      </c>
      <c r="O3" s="15" t="s">
        <v>53</v>
      </c>
    </row>
    <row r="4" spans="1:15" ht="45" x14ac:dyDescent="0.25">
      <c r="A4" s="18" t="s">
        <v>284</v>
      </c>
      <c r="B4" s="4">
        <v>14</v>
      </c>
      <c r="C4" s="4">
        <v>13</v>
      </c>
      <c r="D4" s="4">
        <v>14</v>
      </c>
      <c r="E4" s="4">
        <v>3</v>
      </c>
      <c r="F4" s="4">
        <v>9</v>
      </c>
      <c r="G4" s="4">
        <f>SUM(B4:F4)</f>
        <v>53</v>
      </c>
      <c r="I4" s="18" t="s">
        <v>284</v>
      </c>
      <c r="J4" s="5">
        <f>B4/53</f>
        <v>0.26415094339622641</v>
      </c>
      <c r="K4" s="5">
        <f t="shared" ref="K4:O4" si="0">C4/53</f>
        <v>0.24528301886792453</v>
      </c>
      <c r="L4" s="5">
        <f t="shared" si="0"/>
        <v>0.26415094339622641</v>
      </c>
      <c r="M4" s="5">
        <f t="shared" si="0"/>
        <v>5.6603773584905662E-2</v>
      </c>
      <c r="N4" s="5">
        <f t="shared" si="0"/>
        <v>0.16981132075471697</v>
      </c>
      <c r="O4" s="5">
        <f t="shared" si="0"/>
        <v>1</v>
      </c>
    </row>
    <row r="5" spans="1:15" x14ac:dyDescent="0.25">
      <c r="A5" s="4" t="s">
        <v>282</v>
      </c>
      <c r="B5" s="4">
        <v>15</v>
      </c>
      <c r="C5" s="4">
        <v>10</v>
      </c>
      <c r="D5" s="4">
        <v>4</v>
      </c>
      <c r="E5" s="4">
        <v>2</v>
      </c>
      <c r="F5" s="4">
        <v>2</v>
      </c>
      <c r="G5" s="4">
        <f>SUM(B5:F5)</f>
        <v>33</v>
      </c>
      <c r="I5" s="4" t="s">
        <v>282</v>
      </c>
      <c r="J5" s="5">
        <f>B5/33</f>
        <v>0.45454545454545453</v>
      </c>
      <c r="K5" s="5">
        <f t="shared" ref="K5:O5" si="1">C5/33</f>
        <v>0.30303030303030304</v>
      </c>
      <c r="L5" s="5">
        <f t="shared" si="1"/>
        <v>0.12121212121212122</v>
      </c>
      <c r="M5" s="5">
        <f t="shared" si="1"/>
        <v>6.0606060606060608E-2</v>
      </c>
      <c r="N5" s="5">
        <f t="shared" si="1"/>
        <v>6.0606060606060608E-2</v>
      </c>
      <c r="O5" s="5">
        <f t="shared" si="1"/>
        <v>1</v>
      </c>
    </row>
    <row r="6" spans="1:15" x14ac:dyDescent="0.25">
      <c r="A6" s="4" t="s">
        <v>283</v>
      </c>
      <c r="B6" s="4">
        <v>14</v>
      </c>
      <c r="C6" s="4">
        <v>9</v>
      </c>
      <c r="D6" s="4">
        <v>12</v>
      </c>
      <c r="E6" s="4">
        <v>6</v>
      </c>
      <c r="F6" s="4">
        <v>4</v>
      </c>
      <c r="G6" s="4">
        <f>SUM(B6:F6)</f>
        <v>45</v>
      </c>
      <c r="I6" s="4" t="s">
        <v>283</v>
      </c>
      <c r="J6" s="5">
        <f>B6/45</f>
        <v>0.31111111111111112</v>
      </c>
      <c r="K6" s="5">
        <f t="shared" ref="K6:O6" si="2">C6/45</f>
        <v>0.2</v>
      </c>
      <c r="L6" s="5">
        <f t="shared" si="2"/>
        <v>0.26666666666666666</v>
      </c>
      <c r="M6" s="5">
        <f t="shared" si="2"/>
        <v>0.13333333333333333</v>
      </c>
      <c r="N6" s="5">
        <f t="shared" si="2"/>
        <v>8.8888888888888892E-2</v>
      </c>
      <c r="O6" s="5">
        <f t="shared" si="2"/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/>
  </sheetViews>
  <sheetFormatPr defaultRowHeight="15" x14ac:dyDescent="0.25"/>
  <cols>
    <col min="1" max="1" width="62.5703125" customWidth="1"/>
    <col min="10" max="10" width="58" customWidth="1"/>
  </cols>
  <sheetData>
    <row r="1" spans="1:17" x14ac:dyDescent="0.25">
      <c r="A1" s="3" t="s">
        <v>288</v>
      </c>
    </row>
    <row r="2" spans="1:17" x14ac:dyDescent="0.25">
      <c r="A2" s="4"/>
      <c r="B2" s="15" t="s">
        <v>289</v>
      </c>
      <c r="C2" s="15" t="s">
        <v>290</v>
      </c>
      <c r="D2" s="15" t="s">
        <v>291</v>
      </c>
      <c r="E2" s="15" t="s">
        <v>292</v>
      </c>
      <c r="F2" s="15" t="s">
        <v>293</v>
      </c>
      <c r="G2" s="15" t="s">
        <v>294</v>
      </c>
      <c r="H2" s="15" t="s">
        <v>53</v>
      </c>
      <c r="I2" s="14"/>
      <c r="J2" s="4"/>
      <c r="K2" s="15" t="s">
        <v>289</v>
      </c>
      <c r="L2" s="15" t="s">
        <v>290</v>
      </c>
      <c r="M2" s="15" t="s">
        <v>291</v>
      </c>
      <c r="N2" s="15" t="s">
        <v>292</v>
      </c>
      <c r="O2" s="15" t="s">
        <v>293</v>
      </c>
      <c r="P2" s="15" t="s">
        <v>294</v>
      </c>
      <c r="Q2" s="15" t="s">
        <v>53</v>
      </c>
    </row>
    <row r="3" spans="1:17" x14ac:dyDescent="0.25">
      <c r="A3" s="4" t="s">
        <v>295</v>
      </c>
      <c r="B3" s="4">
        <v>76</v>
      </c>
      <c r="C3" s="4">
        <v>106</v>
      </c>
      <c r="D3" s="4">
        <v>82</v>
      </c>
      <c r="E3" s="4">
        <v>14</v>
      </c>
      <c r="F3" s="4">
        <v>11</v>
      </c>
      <c r="G3" s="4">
        <v>10</v>
      </c>
      <c r="H3" s="4">
        <f>SUM(B3:G3)</f>
        <v>299</v>
      </c>
      <c r="J3" s="18" t="s">
        <v>295</v>
      </c>
      <c r="K3" s="5">
        <f>B3/299</f>
        <v>0.25418060200668896</v>
      </c>
      <c r="L3" s="5">
        <f t="shared" ref="L3:Q3" si="0">C3/299</f>
        <v>0.35451505016722407</v>
      </c>
      <c r="M3" s="5">
        <f t="shared" si="0"/>
        <v>0.27424749163879597</v>
      </c>
      <c r="N3" s="5">
        <f t="shared" si="0"/>
        <v>4.6822742474916385E-2</v>
      </c>
      <c r="O3" s="5">
        <f t="shared" si="0"/>
        <v>3.678929765886288E-2</v>
      </c>
      <c r="P3" s="5">
        <f t="shared" si="0"/>
        <v>3.3444816053511704E-2</v>
      </c>
      <c r="Q3" s="5">
        <f t="shared" si="0"/>
        <v>1</v>
      </c>
    </row>
    <row r="4" spans="1:17" ht="30" x14ac:dyDescent="0.25">
      <c r="A4" s="4" t="s">
        <v>296</v>
      </c>
      <c r="B4" s="4">
        <v>66</v>
      </c>
      <c r="C4" s="4">
        <v>71</v>
      </c>
      <c r="D4" s="4">
        <v>62</v>
      </c>
      <c r="E4" s="4">
        <v>49</v>
      </c>
      <c r="F4" s="4">
        <v>28</v>
      </c>
      <c r="G4" s="4">
        <v>25</v>
      </c>
      <c r="H4" s="4">
        <f t="shared" ref="H4:H14" si="1">SUM(B4:G4)</f>
        <v>301</v>
      </c>
      <c r="J4" s="18" t="s">
        <v>296</v>
      </c>
      <c r="K4" s="5">
        <f>B4/301</f>
        <v>0.21926910299003322</v>
      </c>
      <c r="L4" s="5">
        <f t="shared" ref="L4:Q4" si="2">C4/301</f>
        <v>0.23588039867109634</v>
      </c>
      <c r="M4" s="5">
        <f t="shared" si="2"/>
        <v>0.20598006644518271</v>
      </c>
      <c r="N4" s="5">
        <f t="shared" si="2"/>
        <v>0.16279069767441862</v>
      </c>
      <c r="O4" s="5">
        <f t="shared" si="2"/>
        <v>9.3023255813953487E-2</v>
      </c>
      <c r="P4" s="5">
        <f t="shared" si="2"/>
        <v>8.3056478405315617E-2</v>
      </c>
      <c r="Q4" s="5">
        <f t="shared" si="2"/>
        <v>1</v>
      </c>
    </row>
    <row r="5" spans="1:17" x14ac:dyDescent="0.25">
      <c r="A5" s="4" t="s">
        <v>297</v>
      </c>
      <c r="B5" s="4">
        <v>175</v>
      </c>
      <c r="C5" s="4">
        <v>44</v>
      </c>
      <c r="D5" s="4">
        <v>17</v>
      </c>
      <c r="E5" s="4">
        <v>4</v>
      </c>
      <c r="F5" s="4">
        <v>3</v>
      </c>
      <c r="G5" s="4">
        <v>3</v>
      </c>
      <c r="H5" s="4">
        <f t="shared" si="1"/>
        <v>246</v>
      </c>
      <c r="J5" s="18" t="s">
        <v>297</v>
      </c>
      <c r="K5" s="5">
        <f>B5/246</f>
        <v>0.71138211382113825</v>
      </c>
      <c r="L5" s="5">
        <f t="shared" ref="L5:Q5" si="3">C5/246</f>
        <v>0.17886178861788618</v>
      </c>
      <c r="M5" s="5">
        <f t="shared" si="3"/>
        <v>6.910569105691057E-2</v>
      </c>
      <c r="N5" s="5">
        <f t="shared" si="3"/>
        <v>1.6260162601626018E-2</v>
      </c>
      <c r="O5" s="5">
        <f t="shared" si="3"/>
        <v>1.2195121951219513E-2</v>
      </c>
      <c r="P5" s="5">
        <f t="shared" si="3"/>
        <v>1.2195121951219513E-2</v>
      </c>
      <c r="Q5" s="5">
        <f t="shared" si="3"/>
        <v>1</v>
      </c>
    </row>
    <row r="6" spans="1:17" x14ac:dyDescent="0.25">
      <c r="A6" s="4" t="s">
        <v>298</v>
      </c>
      <c r="B6" s="4">
        <v>111</v>
      </c>
      <c r="C6" s="4">
        <v>65</v>
      </c>
      <c r="D6" s="4">
        <v>28</v>
      </c>
      <c r="E6" s="4">
        <v>14</v>
      </c>
      <c r="F6" s="4">
        <v>8</v>
      </c>
      <c r="G6" s="4">
        <v>3</v>
      </c>
      <c r="H6" s="4">
        <f t="shared" si="1"/>
        <v>229</v>
      </c>
      <c r="J6" s="18" t="s">
        <v>298</v>
      </c>
      <c r="K6" s="5">
        <f>B6/229</f>
        <v>0.48471615720524019</v>
      </c>
      <c r="L6" s="5">
        <f t="shared" ref="L6:Q6" si="4">C6/229</f>
        <v>0.28384279475982532</v>
      </c>
      <c r="M6" s="5">
        <f t="shared" si="4"/>
        <v>0.1222707423580786</v>
      </c>
      <c r="N6" s="5">
        <f t="shared" si="4"/>
        <v>6.1135371179039298E-2</v>
      </c>
      <c r="O6" s="5">
        <f t="shared" si="4"/>
        <v>3.4934497816593885E-2</v>
      </c>
      <c r="P6" s="5">
        <f t="shared" si="4"/>
        <v>1.3100436681222707E-2</v>
      </c>
      <c r="Q6" s="5">
        <f t="shared" si="4"/>
        <v>1</v>
      </c>
    </row>
    <row r="7" spans="1:17" x14ac:dyDescent="0.25">
      <c r="A7" s="4" t="s">
        <v>299</v>
      </c>
      <c r="B7" s="4">
        <v>75</v>
      </c>
      <c r="C7" s="4">
        <v>52</v>
      </c>
      <c r="D7" s="4">
        <v>37</v>
      </c>
      <c r="E7" s="4">
        <v>24</v>
      </c>
      <c r="F7" s="4">
        <v>15</v>
      </c>
      <c r="G7" s="4">
        <v>15</v>
      </c>
      <c r="H7" s="4">
        <f t="shared" si="1"/>
        <v>218</v>
      </c>
      <c r="J7" s="18" t="s">
        <v>299</v>
      </c>
      <c r="K7" s="5">
        <f>B7/218</f>
        <v>0.34403669724770641</v>
      </c>
      <c r="L7" s="5">
        <f t="shared" ref="L7:Q7" si="5">C7/218</f>
        <v>0.23853211009174313</v>
      </c>
      <c r="M7" s="5">
        <f t="shared" si="5"/>
        <v>0.16972477064220184</v>
      </c>
      <c r="N7" s="5">
        <f t="shared" si="5"/>
        <v>0.11009174311926606</v>
      </c>
      <c r="O7" s="5">
        <f t="shared" si="5"/>
        <v>6.8807339449541288E-2</v>
      </c>
      <c r="P7" s="5">
        <f t="shared" si="5"/>
        <v>6.8807339449541288E-2</v>
      </c>
      <c r="Q7" s="5">
        <f t="shared" si="5"/>
        <v>1</v>
      </c>
    </row>
    <row r="8" spans="1:17" x14ac:dyDescent="0.25">
      <c r="A8" s="4" t="s">
        <v>300</v>
      </c>
      <c r="B8" s="4">
        <v>46</v>
      </c>
      <c r="C8" s="4">
        <v>20</v>
      </c>
      <c r="D8" s="4">
        <v>13</v>
      </c>
      <c r="E8" s="4">
        <v>10</v>
      </c>
      <c r="F8" s="4">
        <v>4</v>
      </c>
      <c r="G8" s="4">
        <v>4</v>
      </c>
      <c r="H8" s="4">
        <f t="shared" si="1"/>
        <v>97</v>
      </c>
      <c r="J8" s="18" t="s">
        <v>300</v>
      </c>
      <c r="K8" s="5">
        <f>B8/97</f>
        <v>0.47422680412371132</v>
      </c>
      <c r="L8" s="5">
        <f t="shared" ref="L8:Q8" si="6">C8/97</f>
        <v>0.20618556701030927</v>
      </c>
      <c r="M8" s="5">
        <f t="shared" si="6"/>
        <v>0.13402061855670103</v>
      </c>
      <c r="N8" s="5">
        <f t="shared" si="6"/>
        <v>0.10309278350515463</v>
      </c>
      <c r="O8" s="5">
        <f t="shared" si="6"/>
        <v>4.1237113402061855E-2</v>
      </c>
      <c r="P8" s="5">
        <f t="shared" si="6"/>
        <v>4.1237113402061855E-2</v>
      </c>
      <c r="Q8" s="5">
        <f t="shared" si="6"/>
        <v>1</v>
      </c>
    </row>
    <row r="9" spans="1:17" x14ac:dyDescent="0.25">
      <c r="A9" s="4" t="s">
        <v>301</v>
      </c>
      <c r="B9" s="4">
        <v>146</v>
      </c>
      <c r="C9" s="4">
        <v>50</v>
      </c>
      <c r="D9" s="4">
        <v>11</v>
      </c>
      <c r="E9" s="4">
        <v>5</v>
      </c>
      <c r="F9" s="4">
        <v>4</v>
      </c>
      <c r="G9" s="4">
        <v>4</v>
      </c>
      <c r="H9" s="4">
        <f t="shared" si="1"/>
        <v>220</v>
      </c>
      <c r="J9" s="18" t="s">
        <v>301</v>
      </c>
      <c r="K9" s="5">
        <f>B9/220</f>
        <v>0.66363636363636369</v>
      </c>
      <c r="L9" s="5">
        <f t="shared" ref="L9:Q9" si="7">C9/220</f>
        <v>0.22727272727272727</v>
      </c>
      <c r="M9" s="5">
        <f t="shared" si="7"/>
        <v>0.05</v>
      </c>
      <c r="N9" s="5">
        <f t="shared" si="7"/>
        <v>2.2727272727272728E-2</v>
      </c>
      <c r="O9" s="5">
        <f t="shared" si="7"/>
        <v>1.8181818181818181E-2</v>
      </c>
      <c r="P9" s="5">
        <f t="shared" si="7"/>
        <v>1.8181818181818181E-2</v>
      </c>
      <c r="Q9" s="5">
        <f t="shared" si="7"/>
        <v>1</v>
      </c>
    </row>
    <row r="10" spans="1:17" x14ac:dyDescent="0.25">
      <c r="A10" s="4" t="s">
        <v>302</v>
      </c>
      <c r="B10" s="4">
        <v>64</v>
      </c>
      <c r="C10" s="4">
        <v>22</v>
      </c>
      <c r="D10" s="4">
        <v>7</v>
      </c>
      <c r="E10" s="4">
        <v>1</v>
      </c>
      <c r="F10" s="4">
        <v>2</v>
      </c>
      <c r="G10" s="4">
        <v>5</v>
      </c>
      <c r="H10" s="4">
        <f t="shared" si="1"/>
        <v>101</v>
      </c>
      <c r="J10" s="18" t="s">
        <v>302</v>
      </c>
      <c r="K10" s="5">
        <f>B10/101</f>
        <v>0.63366336633663367</v>
      </c>
      <c r="L10" s="5">
        <f t="shared" ref="L10:Q10" si="8">C10/101</f>
        <v>0.21782178217821782</v>
      </c>
      <c r="M10" s="5">
        <f t="shared" si="8"/>
        <v>6.9306930693069313E-2</v>
      </c>
      <c r="N10" s="5">
        <f t="shared" si="8"/>
        <v>9.9009900990099011E-3</v>
      </c>
      <c r="O10" s="5">
        <f t="shared" si="8"/>
        <v>1.9801980198019802E-2</v>
      </c>
      <c r="P10" s="5">
        <f t="shared" si="8"/>
        <v>4.9504950495049507E-2</v>
      </c>
      <c r="Q10" s="5">
        <f t="shared" si="8"/>
        <v>1</v>
      </c>
    </row>
    <row r="11" spans="1:17" x14ac:dyDescent="0.25">
      <c r="A11" s="4" t="s">
        <v>303</v>
      </c>
      <c r="B11" s="4">
        <v>52</v>
      </c>
      <c r="C11" s="4">
        <v>62</v>
      </c>
      <c r="D11" s="4">
        <v>55</v>
      </c>
      <c r="E11" s="4">
        <v>33</v>
      </c>
      <c r="F11" s="4">
        <v>27</v>
      </c>
      <c r="G11" s="4">
        <v>51</v>
      </c>
      <c r="H11" s="4">
        <f t="shared" si="1"/>
        <v>280</v>
      </c>
      <c r="J11" s="18" t="s">
        <v>303</v>
      </c>
      <c r="K11" s="5">
        <f>B11/280</f>
        <v>0.18571428571428572</v>
      </c>
      <c r="L11" s="5">
        <f t="shared" ref="L11:Q11" si="9">C11/280</f>
        <v>0.22142857142857142</v>
      </c>
      <c r="M11" s="5">
        <f t="shared" si="9"/>
        <v>0.19642857142857142</v>
      </c>
      <c r="N11" s="5">
        <f t="shared" si="9"/>
        <v>0.11785714285714285</v>
      </c>
      <c r="O11" s="5">
        <f t="shared" si="9"/>
        <v>9.6428571428571433E-2</v>
      </c>
      <c r="P11" s="5">
        <f t="shared" si="9"/>
        <v>0.18214285714285713</v>
      </c>
      <c r="Q11" s="5">
        <f t="shared" si="9"/>
        <v>1</v>
      </c>
    </row>
    <row r="12" spans="1:17" x14ac:dyDescent="0.25">
      <c r="A12" s="4" t="s">
        <v>304</v>
      </c>
      <c r="B12" s="4">
        <v>29</v>
      </c>
      <c r="C12" s="4">
        <v>7</v>
      </c>
      <c r="D12" s="4">
        <v>5</v>
      </c>
      <c r="E12" s="4">
        <v>4</v>
      </c>
      <c r="F12" s="4">
        <v>2</v>
      </c>
      <c r="G12" s="4">
        <v>4</v>
      </c>
      <c r="H12" s="4">
        <f t="shared" si="1"/>
        <v>51</v>
      </c>
      <c r="J12" s="18" t="s">
        <v>304</v>
      </c>
      <c r="K12" s="5">
        <f>B12/51</f>
        <v>0.56862745098039214</v>
      </c>
      <c r="L12" s="5">
        <f t="shared" ref="L12:Q12" si="10">C12/51</f>
        <v>0.13725490196078433</v>
      </c>
      <c r="M12" s="5">
        <f t="shared" si="10"/>
        <v>9.8039215686274508E-2</v>
      </c>
      <c r="N12" s="5">
        <f t="shared" si="10"/>
        <v>7.8431372549019607E-2</v>
      </c>
      <c r="O12" s="5">
        <f t="shared" si="10"/>
        <v>3.9215686274509803E-2</v>
      </c>
      <c r="P12" s="5">
        <f t="shared" si="10"/>
        <v>7.8431372549019607E-2</v>
      </c>
      <c r="Q12" s="5">
        <f t="shared" si="10"/>
        <v>1</v>
      </c>
    </row>
    <row r="13" spans="1:17" x14ac:dyDescent="0.25">
      <c r="A13" s="4" t="s">
        <v>305</v>
      </c>
      <c r="B13" s="4">
        <v>16</v>
      </c>
      <c r="C13" s="4">
        <v>6</v>
      </c>
      <c r="D13" s="4">
        <v>6</v>
      </c>
      <c r="E13" s="4">
        <v>2</v>
      </c>
      <c r="F13" s="4">
        <v>3</v>
      </c>
      <c r="G13" s="4">
        <v>36</v>
      </c>
      <c r="H13" s="4">
        <f t="shared" si="1"/>
        <v>69</v>
      </c>
      <c r="J13" s="18" t="s">
        <v>305</v>
      </c>
      <c r="K13" s="5">
        <f>B13/69</f>
        <v>0.2318840579710145</v>
      </c>
      <c r="L13" s="5">
        <f t="shared" ref="L13:Q13" si="11">C13/69</f>
        <v>8.6956521739130432E-2</v>
      </c>
      <c r="M13" s="5">
        <f t="shared" si="11"/>
        <v>8.6956521739130432E-2</v>
      </c>
      <c r="N13" s="5">
        <f t="shared" si="11"/>
        <v>2.8985507246376812E-2</v>
      </c>
      <c r="O13" s="5">
        <f t="shared" si="11"/>
        <v>4.3478260869565216E-2</v>
      </c>
      <c r="P13" s="5">
        <f t="shared" si="11"/>
        <v>0.52173913043478259</v>
      </c>
      <c r="Q13" s="5">
        <f t="shared" si="11"/>
        <v>1</v>
      </c>
    </row>
    <row r="14" spans="1:17" x14ac:dyDescent="0.25">
      <c r="A14" s="4" t="s">
        <v>306</v>
      </c>
      <c r="B14" s="4">
        <v>75</v>
      </c>
      <c r="C14" s="4">
        <v>112</v>
      </c>
      <c r="D14" s="4">
        <v>69</v>
      </c>
      <c r="E14" s="4">
        <v>24</v>
      </c>
      <c r="F14" s="4">
        <v>19</v>
      </c>
      <c r="G14" s="4">
        <v>13</v>
      </c>
      <c r="H14" s="4">
        <f t="shared" si="1"/>
        <v>312</v>
      </c>
      <c r="J14" s="18" t="s">
        <v>306</v>
      </c>
      <c r="K14" s="5">
        <f>B14/312</f>
        <v>0.24038461538461539</v>
      </c>
      <c r="L14" s="5">
        <f t="shared" ref="L14:Q14" si="12">C14/312</f>
        <v>0.35897435897435898</v>
      </c>
      <c r="M14" s="5">
        <f t="shared" si="12"/>
        <v>0.22115384615384615</v>
      </c>
      <c r="N14" s="5">
        <f t="shared" si="12"/>
        <v>7.6923076923076927E-2</v>
      </c>
      <c r="O14" s="5">
        <f t="shared" si="12"/>
        <v>6.0897435897435896E-2</v>
      </c>
      <c r="P14" s="5">
        <f t="shared" si="12"/>
        <v>4.1666666666666664E-2</v>
      </c>
      <c r="Q14" s="5">
        <f t="shared" si="12"/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G23" sqref="G23"/>
    </sheetView>
  </sheetViews>
  <sheetFormatPr defaultRowHeight="15" x14ac:dyDescent="0.25"/>
  <cols>
    <col min="1" max="1" width="50.7109375" customWidth="1"/>
    <col min="2" max="2" width="10.7109375" bestFit="1" customWidth="1"/>
    <col min="3" max="3" width="12" bestFit="1" customWidth="1"/>
    <col min="4" max="4" width="10.28515625" customWidth="1"/>
    <col min="7" max="7" width="49.42578125" customWidth="1"/>
    <col min="8" max="8" width="10.7109375" bestFit="1" customWidth="1"/>
    <col min="9" max="9" width="12" bestFit="1" customWidth="1"/>
  </cols>
  <sheetData>
    <row r="1" spans="1:11" x14ac:dyDescent="0.25">
      <c r="A1" s="3" t="s">
        <v>307</v>
      </c>
    </row>
    <row r="3" spans="1:11" x14ac:dyDescent="0.25">
      <c r="A3" s="4"/>
      <c r="B3" s="4" t="s">
        <v>250</v>
      </c>
      <c r="C3" s="4" t="s">
        <v>251</v>
      </c>
      <c r="D3" s="4" t="s">
        <v>240</v>
      </c>
      <c r="E3" s="4" t="s">
        <v>53</v>
      </c>
      <c r="G3" s="4"/>
      <c r="H3" s="4" t="s">
        <v>250</v>
      </c>
      <c r="I3" s="4" t="s">
        <v>251</v>
      </c>
      <c r="J3" s="4" t="s">
        <v>240</v>
      </c>
      <c r="K3" s="4" t="s">
        <v>53</v>
      </c>
    </row>
    <row r="4" spans="1:11" x14ac:dyDescent="0.25">
      <c r="A4" s="18" t="s">
        <v>308</v>
      </c>
      <c r="B4" s="4">
        <v>271</v>
      </c>
      <c r="C4" s="4">
        <v>15</v>
      </c>
      <c r="D4" s="4">
        <v>12</v>
      </c>
      <c r="E4" s="4">
        <f>SUM(B4:D4)</f>
        <v>298</v>
      </c>
      <c r="G4" s="18" t="s">
        <v>308</v>
      </c>
      <c r="H4" s="5">
        <f>B4/298</f>
        <v>0.90939597315436238</v>
      </c>
      <c r="I4" s="5">
        <f t="shared" ref="I4:K5" si="0">C4/298</f>
        <v>5.0335570469798654E-2</v>
      </c>
      <c r="J4" s="5">
        <f t="shared" si="0"/>
        <v>4.0268456375838924E-2</v>
      </c>
      <c r="K4" s="5">
        <f t="shared" si="0"/>
        <v>1</v>
      </c>
    </row>
    <row r="5" spans="1:11" x14ac:dyDescent="0.25">
      <c r="A5" s="18" t="s">
        <v>309</v>
      </c>
      <c r="B5" s="4">
        <v>230</v>
      </c>
      <c r="C5" s="4">
        <v>51</v>
      </c>
      <c r="D5" s="4">
        <v>17</v>
      </c>
      <c r="E5" s="4">
        <f t="shared" ref="E5:E14" si="1">SUM(B5:D5)</f>
        <v>298</v>
      </c>
      <c r="G5" s="18" t="s">
        <v>309</v>
      </c>
      <c r="H5" s="5">
        <f>B5/298</f>
        <v>0.77181208053691275</v>
      </c>
      <c r="I5" s="5">
        <f t="shared" si="0"/>
        <v>0.17114093959731544</v>
      </c>
      <c r="J5" s="5">
        <f t="shared" si="0"/>
        <v>5.7046979865771813E-2</v>
      </c>
      <c r="K5" s="5">
        <f t="shared" si="0"/>
        <v>1</v>
      </c>
    </row>
    <row r="6" spans="1:11" ht="30" x14ac:dyDescent="0.25">
      <c r="A6" s="18" t="s">
        <v>310</v>
      </c>
      <c r="B6" s="4">
        <v>212</v>
      </c>
      <c r="C6" s="4">
        <v>70</v>
      </c>
      <c r="D6" s="4">
        <v>14</v>
      </c>
      <c r="E6" s="4">
        <f t="shared" si="1"/>
        <v>296</v>
      </c>
      <c r="G6" s="18" t="s">
        <v>310</v>
      </c>
      <c r="H6" s="5">
        <f>B6/296</f>
        <v>0.71621621621621623</v>
      </c>
      <c r="I6" s="5">
        <f t="shared" ref="I6:K6" si="2">C6/296</f>
        <v>0.23648648648648649</v>
      </c>
      <c r="J6" s="5">
        <f t="shared" si="2"/>
        <v>4.72972972972973E-2</v>
      </c>
      <c r="K6" s="5">
        <f t="shared" si="2"/>
        <v>1</v>
      </c>
    </row>
    <row r="7" spans="1:11" ht="30" x14ac:dyDescent="0.25">
      <c r="A7" s="18" t="s">
        <v>311</v>
      </c>
      <c r="B7" s="4">
        <v>202</v>
      </c>
      <c r="C7" s="4">
        <v>74</v>
      </c>
      <c r="D7" s="4">
        <v>22</v>
      </c>
      <c r="E7" s="4">
        <f t="shared" si="1"/>
        <v>298</v>
      </c>
      <c r="G7" s="18" t="s">
        <v>311</v>
      </c>
      <c r="H7" s="5">
        <f>B7/298</f>
        <v>0.67785234899328861</v>
      </c>
      <c r="I7" s="5">
        <f t="shared" ref="I7:K7" si="3">C7/298</f>
        <v>0.24832214765100671</v>
      </c>
      <c r="J7" s="5">
        <f t="shared" si="3"/>
        <v>7.3825503355704702E-2</v>
      </c>
      <c r="K7" s="5">
        <f t="shared" si="3"/>
        <v>1</v>
      </c>
    </row>
    <row r="8" spans="1:11" ht="30" x14ac:dyDescent="0.25">
      <c r="A8" s="18" t="s">
        <v>312</v>
      </c>
      <c r="B8" s="4">
        <v>214</v>
      </c>
      <c r="C8" s="4">
        <v>64</v>
      </c>
      <c r="D8" s="4">
        <v>18</v>
      </c>
      <c r="E8" s="4">
        <f t="shared" si="1"/>
        <v>296</v>
      </c>
      <c r="G8" s="18" t="s">
        <v>312</v>
      </c>
      <c r="H8" s="5">
        <f>B8/296</f>
        <v>0.72297297297297303</v>
      </c>
      <c r="I8" s="5">
        <f t="shared" ref="I8:K8" si="4">C8/296</f>
        <v>0.21621621621621623</v>
      </c>
      <c r="J8" s="5">
        <f t="shared" si="4"/>
        <v>6.0810810810810814E-2</v>
      </c>
      <c r="K8" s="5">
        <f t="shared" si="4"/>
        <v>1</v>
      </c>
    </row>
    <row r="9" spans="1:11" x14ac:dyDescent="0.25">
      <c r="A9" s="18" t="s">
        <v>313</v>
      </c>
      <c r="B9" s="4">
        <v>128</v>
      </c>
      <c r="C9" s="4">
        <v>105</v>
      </c>
      <c r="D9" s="4">
        <v>62</v>
      </c>
      <c r="E9" s="4">
        <f t="shared" si="1"/>
        <v>295</v>
      </c>
      <c r="G9" s="18" t="s">
        <v>313</v>
      </c>
      <c r="H9" s="5">
        <f>B9/295</f>
        <v>0.43389830508474575</v>
      </c>
      <c r="I9" s="5">
        <f t="shared" ref="I9:K9" si="5">C9/295</f>
        <v>0.3559322033898305</v>
      </c>
      <c r="J9" s="5">
        <f t="shared" si="5"/>
        <v>0.21016949152542372</v>
      </c>
      <c r="K9" s="5">
        <f t="shared" si="5"/>
        <v>1</v>
      </c>
    </row>
    <row r="10" spans="1:11" x14ac:dyDescent="0.25">
      <c r="A10" s="18" t="s">
        <v>314</v>
      </c>
      <c r="B10" s="4">
        <v>193</v>
      </c>
      <c r="C10" s="4">
        <v>88</v>
      </c>
      <c r="D10" s="4">
        <v>16</v>
      </c>
      <c r="E10" s="4">
        <f t="shared" si="1"/>
        <v>297</v>
      </c>
      <c r="G10" s="18" t="s">
        <v>314</v>
      </c>
      <c r="H10" s="5">
        <f>B10/297</f>
        <v>0.64983164983164987</v>
      </c>
      <c r="I10" s="5">
        <f t="shared" ref="I10:K10" si="6">C10/297</f>
        <v>0.29629629629629628</v>
      </c>
      <c r="J10" s="5">
        <f t="shared" si="6"/>
        <v>5.387205387205387E-2</v>
      </c>
      <c r="K10" s="5">
        <f t="shared" si="6"/>
        <v>1</v>
      </c>
    </row>
    <row r="11" spans="1:11" x14ac:dyDescent="0.25">
      <c r="A11" s="18" t="s">
        <v>315</v>
      </c>
      <c r="B11" s="4">
        <v>166</v>
      </c>
      <c r="C11" s="4">
        <v>104</v>
      </c>
      <c r="D11" s="4">
        <v>28</v>
      </c>
      <c r="E11" s="4">
        <f t="shared" si="1"/>
        <v>298</v>
      </c>
      <c r="G11" s="18" t="s">
        <v>315</v>
      </c>
      <c r="H11" s="5">
        <f>B11/298</f>
        <v>0.55704697986577179</v>
      </c>
      <c r="I11" s="5">
        <f t="shared" ref="I11:K11" si="7">C11/298</f>
        <v>0.34899328859060402</v>
      </c>
      <c r="J11" s="5">
        <f t="shared" si="7"/>
        <v>9.3959731543624164E-2</v>
      </c>
      <c r="K11" s="5">
        <f t="shared" si="7"/>
        <v>1</v>
      </c>
    </row>
    <row r="12" spans="1:11" ht="30" x14ac:dyDescent="0.25">
      <c r="A12" s="18" t="s">
        <v>316</v>
      </c>
      <c r="B12" s="4">
        <v>166</v>
      </c>
      <c r="C12" s="4">
        <v>111</v>
      </c>
      <c r="D12" s="4">
        <v>20</v>
      </c>
      <c r="E12" s="4">
        <f t="shared" si="1"/>
        <v>297</v>
      </c>
      <c r="G12" s="18" t="s">
        <v>316</v>
      </c>
      <c r="H12" s="5">
        <f>B12/297</f>
        <v>0.55892255892255893</v>
      </c>
      <c r="I12" s="5">
        <f t="shared" ref="I12:K12" si="8">C12/297</f>
        <v>0.37373737373737376</v>
      </c>
      <c r="J12" s="5">
        <f t="shared" si="8"/>
        <v>6.7340067340067339E-2</v>
      </c>
      <c r="K12" s="5">
        <f t="shared" si="8"/>
        <v>1</v>
      </c>
    </row>
    <row r="13" spans="1:11" x14ac:dyDescent="0.25">
      <c r="A13" s="18" t="s">
        <v>317</v>
      </c>
      <c r="B13" s="4">
        <v>204</v>
      </c>
      <c r="C13" s="4">
        <v>74</v>
      </c>
      <c r="D13" s="4">
        <v>16</v>
      </c>
      <c r="E13" s="4">
        <f t="shared" si="1"/>
        <v>294</v>
      </c>
      <c r="G13" s="18" t="s">
        <v>317</v>
      </c>
      <c r="H13" s="5">
        <f>B13/294</f>
        <v>0.69387755102040816</v>
      </c>
      <c r="I13" s="5">
        <f t="shared" ref="I13:K14" si="9">C13/294</f>
        <v>0.25170068027210885</v>
      </c>
      <c r="J13" s="5">
        <f t="shared" si="9"/>
        <v>5.4421768707482991E-2</v>
      </c>
      <c r="K13" s="5">
        <f t="shared" si="9"/>
        <v>1</v>
      </c>
    </row>
    <row r="14" spans="1:11" x14ac:dyDescent="0.25">
      <c r="A14" s="18" t="s">
        <v>318</v>
      </c>
      <c r="B14" s="4">
        <v>178</v>
      </c>
      <c r="C14" s="4">
        <v>90</v>
      </c>
      <c r="D14" s="4">
        <v>26</v>
      </c>
      <c r="E14" s="4">
        <f t="shared" si="1"/>
        <v>294</v>
      </c>
      <c r="G14" s="18" t="s">
        <v>318</v>
      </c>
      <c r="H14" s="5">
        <f>B14/294</f>
        <v>0.60544217687074831</v>
      </c>
      <c r="I14" s="5">
        <f t="shared" si="9"/>
        <v>0.30612244897959184</v>
      </c>
      <c r="J14" s="5">
        <f t="shared" si="9"/>
        <v>8.8435374149659865E-2</v>
      </c>
      <c r="K14" s="5">
        <f t="shared" si="9"/>
        <v>1</v>
      </c>
    </row>
  </sheetData>
  <pageMargins left="0.7" right="0.7" top="0.75" bottom="0.75" header="0.3" footer="0.3"/>
  <ignoredErrors>
    <ignoredError sqref="H6:K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G33" sqref="G33"/>
    </sheetView>
  </sheetViews>
  <sheetFormatPr defaultRowHeight="15" x14ac:dyDescent="0.25"/>
  <cols>
    <col min="1" max="1" width="58.85546875" customWidth="1"/>
    <col min="2" max="2" width="10.7109375" bestFit="1" customWidth="1"/>
    <col min="3" max="3" width="12" bestFit="1" customWidth="1"/>
    <col min="7" max="7" width="58.28515625" customWidth="1"/>
    <col min="8" max="8" width="10.7109375" bestFit="1" customWidth="1"/>
    <col min="9" max="9" width="12" bestFit="1" customWidth="1"/>
  </cols>
  <sheetData>
    <row r="1" spans="1:11" x14ac:dyDescent="0.25">
      <c r="A1" t="s">
        <v>319</v>
      </c>
    </row>
    <row r="3" spans="1:11" x14ac:dyDescent="0.25">
      <c r="A3" s="4"/>
      <c r="B3" s="4" t="s">
        <v>250</v>
      </c>
      <c r="C3" s="4" t="s">
        <v>251</v>
      </c>
      <c r="D3" s="4" t="s">
        <v>182</v>
      </c>
      <c r="E3" s="4" t="s">
        <v>53</v>
      </c>
      <c r="G3" s="4"/>
      <c r="H3" s="4" t="s">
        <v>250</v>
      </c>
      <c r="I3" s="4" t="s">
        <v>251</v>
      </c>
      <c r="J3" s="4" t="s">
        <v>182</v>
      </c>
      <c r="K3" s="4" t="s">
        <v>53</v>
      </c>
    </row>
    <row r="4" spans="1:11" x14ac:dyDescent="0.25">
      <c r="A4" s="18" t="s">
        <v>320</v>
      </c>
      <c r="B4" s="4">
        <v>194</v>
      </c>
      <c r="C4" s="4">
        <v>67</v>
      </c>
      <c r="D4" s="4">
        <v>39</v>
      </c>
      <c r="E4" s="4">
        <f>SUM(B4:D4)</f>
        <v>300</v>
      </c>
      <c r="G4" s="18" t="s">
        <v>320</v>
      </c>
      <c r="H4" s="5">
        <f>B4/300</f>
        <v>0.64666666666666661</v>
      </c>
      <c r="I4" s="5">
        <f t="shared" ref="I4:K6" si="0">C4/300</f>
        <v>0.22333333333333333</v>
      </c>
      <c r="J4" s="5">
        <f t="shared" si="0"/>
        <v>0.13</v>
      </c>
      <c r="K4" s="5">
        <f t="shared" si="0"/>
        <v>1</v>
      </c>
    </row>
    <row r="5" spans="1:11" ht="30" x14ac:dyDescent="0.25">
      <c r="A5" s="18" t="s">
        <v>321</v>
      </c>
      <c r="B5" s="4">
        <v>166</v>
      </c>
      <c r="C5" s="4">
        <v>83</v>
      </c>
      <c r="D5" s="4">
        <v>51</v>
      </c>
      <c r="E5" s="4">
        <f t="shared" ref="E5:E6" si="1">SUM(B5:D5)</f>
        <v>300</v>
      </c>
      <c r="G5" s="18" t="s">
        <v>321</v>
      </c>
      <c r="H5" s="5">
        <f>B5/300</f>
        <v>0.55333333333333334</v>
      </c>
      <c r="I5" s="5">
        <f t="shared" si="0"/>
        <v>0.27666666666666667</v>
      </c>
      <c r="J5" s="5">
        <f t="shared" si="0"/>
        <v>0.17</v>
      </c>
      <c r="K5" s="5">
        <f t="shared" si="0"/>
        <v>1</v>
      </c>
    </row>
    <row r="6" spans="1:11" x14ac:dyDescent="0.25">
      <c r="A6" s="18" t="s">
        <v>322</v>
      </c>
      <c r="B6" s="4">
        <v>147</v>
      </c>
      <c r="C6" s="4">
        <v>107</v>
      </c>
      <c r="D6" s="4">
        <v>46</v>
      </c>
      <c r="E6" s="4">
        <f t="shared" si="1"/>
        <v>300</v>
      </c>
      <c r="G6" s="18" t="s">
        <v>322</v>
      </c>
      <c r="H6" s="5">
        <f>B6/300</f>
        <v>0.49</v>
      </c>
      <c r="I6" s="5">
        <f t="shared" si="0"/>
        <v>0.35666666666666669</v>
      </c>
      <c r="J6" s="5">
        <f t="shared" si="0"/>
        <v>0.15333333333333332</v>
      </c>
      <c r="K6" s="5">
        <f t="shared" si="0"/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I25" sqref="I25"/>
    </sheetView>
  </sheetViews>
  <sheetFormatPr defaultRowHeight="15" x14ac:dyDescent="0.25"/>
  <cols>
    <col min="1" max="1" width="50.7109375" customWidth="1"/>
    <col min="8" max="8" width="47.85546875" bestFit="1" customWidth="1"/>
  </cols>
  <sheetData>
    <row r="1" spans="1:13" x14ac:dyDescent="0.25">
      <c r="A1" s="3" t="s">
        <v>324</v>
      </c>
    </row>
    <row r="3" spans="1:13" x14ac:dyDescent="0.25">
      <c r="A3" s="4"/>
      <c r="B3" s="4" t="s">
        <v>337</v>
      </c>
      <c r="C3" s="4" t="s">
        <v>338</v>
      </c>
      <c r="D3" s="4" t="s">
        <v>339</v>
      </c>
      <c r="E3" s="4" t="s">
        <v>275</v>
      </c>
      <c r="F3" s="4" t="s">
        <v>53</v>
      </c>
      <c r="H3" s="4"/>
      <c r="I3" s="4" t="s">
        <v>337</v>
      </c>
      <c r="J3" s="4" t="s">
        <v>338</v>
      </c>
      <c r="K3" s="4" t="s">
        <v>339</v>
      </c>
      <c r="L3" s="4" t="s">
        <v>275</v>
      </c>
      <c r="M3" s="4" t="s">
        <v>53</v>
      </c>
    </row>
    <row r="4" spans="1:13" x14ac:dyDescent="0.25">
      <c r="A4" s="4" t="s">
        <v>325</v>
      </c>
      <c r="B4" s="4">
        <v>217</v>
      </c>
      <c r="C4" s="4">
        <v>39</v>
      </c>
      <c r="D4" s="4">
        <v>32</v>
      </c>
      <c r="E4" s="4">
        <v>8</v>
      </c>
      <c r="F4" s="4">
        <f>SUM(B4:E4)</f>
        <v>296</v>
      </c>
      <c r="H4" s="4" t="s">
        <v>325</v>
      </c>
      <c r="I4" s="5">
        <f>B4/296</f>
        <v>0.73310810810810811</v>
      </c>
      <c r="J4" s="5">
        <f t="shared" ref="J4:M4" si="0">C4/296</f>
        <v>0.13175675675675674</v>
      </c>
      <c r="K4" s="5">
        <f t="shared" si="0"/>
        <v>0.10810810810810811</v>
      </c>
      <c r="L4" s="5">
        <f t="shared" si="0"/>
        <v>2.7027027027027029E-2</v>
      </c>
      <c r="M4" s="5">
        <f t="shared" si="0"/>
        <v>1</v>
      </c>
    </row>
    <row r="5" spans="1:13" x14ac:dyDescent="0.25">
      <c r="A5" s="4" t="s">
        <v>326</v>
      </c>
      <c r="B5" s="4">
        <v>149</v>
      </c>
      <c r="C5" s="4">
        <v>47</v>
      </c>
      <c r="D5" s="4">
        <v>57</v>
      </c>
      <c r="E5" s="4">
        <v>37</v>
      </c>
      <c r="F5" s="4">
        <f t="shared" ref="F5:F15" si="1">SUM(B5:E5)</f>
        <v>290</v>
      </c>
      <c r="H5" s="4" t="s">
        <v>326</v>
      </c>
      <c r="I5" s="5">
        <f>B5/290</f>
        <v>0.51379310344827589</v>
      </c>
      <c r="J5" s="5">
        <f t="shared" ref="J5:M5" si="2">C5/290</f>
        <v>0.16206896551724137</v>
      </c>
      <c r="K5" s="5">
        <f t="shared" si="2"/>
        <v>0.19655172413793104</v>
      </c>
      <c r="L5" s="5">
        <f t="shared" si="2"/>
        <v>0.12758620689655173</v>
      </c>
      <c r="M5" s="5">
        <f t="shared" si="2"/>
        <v>1</v>
      </c>
    </row>
    <row r="6" spans="1:13" x14ac:dyDescent="0.25">
      <c r="A6" s="4" t="s">
        <v>327</v>
      </c>
      <c r="B6" s="4">
        <v>59</v>
      </c>
      <c r="C6" s="4">
        <v>36</v>
      </c>
      <c r="D6" s="4">
        <v>103</v>
      </c>
      <c r="E6" s="4">
        <v>93</v>
      </c>
      <c r="F6" s="4">
        <f t="shared" si="1"/>
        <v>291</v>
      </c>
      <c r="H6" s="4" t="s">
        <v>327</v>
      </c>
      <c r="I6" s="5">
        <f>B6/291</f>
        <v>0.20274914089347079</v>
      </c>
      <c r="J6" s="5">
        <f t="shared" ref="J6:M6" si="3">C6/291</f>
        <v>0.12371134020618557</v>
      </c>
      <c r="K6" s="5">
        <f t="shared" si="3"/>
        <v>0.35395189003436428</v>
      </c>
      <c r="L6" s="5">
        <f t="shared" si="3"/>
        <v>0.31958762886597936</v>
      </c>
      <c r="M6" s="5">
        <f t="shared" si="3"/>
        <v>1</v>
      </c>
    </row>
    <row r="7" spans="1:13" x14ac:dyDescent="0.25">
      <c r="A7" s="4" t="s">
        <v>328</v>
      </c>
      <c r="B7" s="4">
        <v>81</v>
      </c>
      <c r="C7" s="4">
        <v>49</v>
      </c>
      <c r="D7" s="4">
        <v>71</v>
      </c>
      <c r="E7" s="4">
        <v>91</v>
      </c>
      <c r="F7" s="4">
        <f t="shared" si="1"/>
        <v>292</v>
      </c>
      <c r="H7" s="4" t="s">
        <v>328</v>
      </c>
      <c r="I7" s="5">
        <f>B7/292</f>
        <v>0.2773972602739726</v>
      </c>
      <c r="J7" s="5">
        <f t="shared" ref="J7:M7" si="4">C7/292</f>
        <v>0.1678082191780822</v>
      </c>
      <c r="K7" s="5">
        <f t="shared" si="4"/>
        <v>0.24315068493150685</v>
      </c>
      <c r="L7" s="5">
        <f t="shared" si="4"/>
        <v>0.31164383561643838</v>
      </c>
      <c r="M7" s="5">
        <f t="shared" si="4"/>
        <v>1</v>
      </c>
    </row>
    <row r="8" spans="1:13" x14ac:dyDescent="0.25">
      <c r="A8" s="4" t="s">
        <v>329</v>
      </c>
      <c r="B8" s="4">
        <v>77</v>
      </c>
      <c r="C8" s="4">
        <v>48</v>
      </c>
      <c r="D8" s="4">
        <v>97</v>
      </c>
      <c r="E8" s="4">
        <v>72</v>
      </c>
      <c r="F8" s="4">
        <f t="shared" si="1"/>
        <v>294</v>
      </c>
      <c r="H8" s="4" t="s">
        <v>329</v>
      </c>
      <c r="I8" s="5">
        <f>B8/294</f>
        <v>0.26190476190476192</v>
      </c>
      <c r="J8" s="5">
        <f t="shared" ref="J8:M8" si="5">C8/294</f>
        <v>0.16326530612244897</v>
      </c>
      <c r="K8" s="5">
        <f t="shared" si="5"/>
        <v>0.32993197278911562</v>
      </c>
      <c r="L8" s="5">
        <f t="shared" si="5"/>
        <v>0.24489795918367346</v>
      </c>
      <c r="M8" s="5">
        <f t="shared" si="5"/>
        <v>1</v>
      </c>
    </row>
    <row r="9" spans="1:13" x14ac:dyDescent="0.25">
      <c r="A9" s="4" t="s">
        <v>330</v>
      </c>
      <c r="B9" s="4">
        <v>79</v>
      </c>
      <c r="C9" s="4">
        <v>75</v>
      </c>
      <c r="D9" s="4">
        <v>84</v>
      </c>
      <c r="E9" s="4">
        <v>55</v>
      </c>
      <c r="F9" s="4">
        <f t="shared" si="1"/>
        <v>293</v>
      </c>
      <c r="H9" s="4" t="s">
        <v>330</v>
      </c>
      <c r="I9" s="5">
        <f>B9/293</f>
        <v>0.2696245733788396</v>
      </c>
      <c r="J9" s="5">
        <f t="shared" ref="J9:M10" si="6">C9/293</f>
        <v>0.25597269624573377</v>
      </c>
      <c r="K9" s="5">
        <f t="shared" si="6"/>
        <v>0.28668941979522183</v>
      </c>
      <c r="L9" s="5">
        <f t="shared" si="6"/>
        <v>0.18771331058020477</v>
      </c>
      <c r="M9" s="5">
        <f t="shared" si="6"/>
        <v>1</v>
      </c>
    </row>
    <row r="10" spans="1:13" x14ac:dyDescent="0.25">
      <c r="A10" s="4" t="s">
        <v>331</v>
      </c>
      <c r="B10" s="4">
        <v>56</v>
      </c>
      <c r="C10" s="4">
        <v>53</v>
      </c>
      <c r="D10" s="4">
        <v>112</v>
      </c>
      <c r="E10" s="4">
        <v>72</v>
      </c>
      <c r="F10" s="4">
        <f t="shared" si="1"/>
        <v>293</v>
      </c>
      <c r="H10" s="4" t="s">
        <v>331</v>
      </c>
      <c r="I10" s="5">
        <f>B10/293</f>
        <v>0.19112627986348124</v>
      </c>
      <c r="J10" s="5">
        <f t="shared" si="6"/>
        <v>0.18088737201365188</v>
      </c>
      <c r="K10" s="5">
        <f t="shared" si="6"/>
        <v>0.38225255972696248</v>
      </c>
      <c r="L10" s="5">
        <f t="shared" si="6"/>
        <v>0.24573378839590443</v>
      </c>
      <c r="M10" s="5">
        <f t="shared" si="6"/>
        <v>1</v>
      </c>
    </row>
    <row r="11" spans="1:13" x14ac:dyDescent="0.25">
      <c r="A11" s="4" t="s">
        <v>332</v>
      </c>
      <c r="B11" s="4">
        <v>50</v>
      </c>
      <c r="C11" s="4">
        <v>40</v>
      </c>
      <c r="D11" s="4">
        <v>65</v>
      </c>
      <c r="E11" s="4">
        <v>133</v>
      </c>
      <c r="F11" s="4">
        <f t="shared" si="1"/>
        <v>288</v>
      </c>
      <c r="H11" s="4" t="s">
        <v>332</v>
      </c>
      <c r="I11" s="5">
        <f>B11/288</f>
        <v>0.1736111111111111</v>
      </c>
      <c r="J11" s="5">
        <f t="shared" ref="J11:M11" si="7">C11/288</f>
        <v>0.1388888888888889</v>
      </c>
      <c r="K11" s="5">
        <f t="shared" si="7"/>
        <v>0.22569444444444445</v>
      </c>
      <c r="L11" s="5">
        <f t="shared" si="7"/>
        <v>0.46180555555555558</v>
      </c>
      <c r="M11" s="5">
        <f t="shared" si="7"/>
        <v>1</v>
      </c>
    </row>
    <row r="12" spans="1:13" x14ac:dyDescent="0.25">
      <c r="A12" s="4" t="s">
        <v>333</v>
      </c>
      <c r="B12" s="4">
        <v>16</v>
      </c>
      <c r="C12" s="4">
        <v>11</v>
      </c>
      <c r="D12" s="4">
        <v>81</v>
      </c>
      <c r="E12" s="4">
        <v>187</v>
      </c>
      <c r="F12" s="4">
        <f t="shared" si="1"/>
        <v>295</v>
      </c>
      <c r="H12" s="4" t="s">
        <v>333</v>
      </c>
      <c r="I12" s="5">
        <f>B12/295</f>
        <v>5.4237288135593219E-2</v>
      </c>
      <c r="J12" s="5">
        <f t="shared" ref="J12:M12" si="8">C12/295</f>
        <v>3.7288135593220341E-2</v>
      </c>
      <c r="K12" s="5">
        <f t="shared" si="8"/>
        <v>0.27457627118644068</v>
      </c>
      <c r="L12" s="5">
        <f t="shared" si="8"/>
        <v>0.63389830508474576</v>
      </c>
      <c r="M12" s="5">
        <f t="shared" si="8"/>
        <v>1</v>
      </c>
    </row>
    <row r="13" spans="1:13" x14ac:dyDescent="0.25">
      <c r="A13" s="4" t="s">
        <v>334</v>
      </c>
      <c r="B13" s="4">
        <v>43</v>
      </c>
      <c r="C13" s="4">
        <v>19</v>
      </c>
      <c r="D13" s="4">
        <v>59</v>
      </c>
      <c r="E13" s="4">
        <v>173</v>
      </c>
      <c r="F13" s="4">
        <f t="shared" si="1"/>
        <v>294</v>
      </c>
      <c r="H13" s="4" t="s">
        <v>334</v>
      </c>
      <c r="I13" s="5">
        <f>B13/294</f>
        <v>0.14625850340136054</v>
      </c>
      <c r="J13" s="5">
        <f t="shared" ref="J13:M13" si="9">C13/294</f>
        <v>6.4625850340136057E-2</v>
      </c>
      <c r="K13" s="5">
        <f t="shared" si="9"/>
        <v>0.20068027210884354</v>
      </c>
      <c r="L13" s="5">
        <f t="shared" si="9"/>
        <v>0.58843537414965985</v>
      </c>
      <c r="M13" s="5">
        <f t="shared" si="9"/>
        <v>1</v>
      </c>
    </row>
    <row r="14" spans="1:13" x14ac:dyDescent="0.25">
      <c r="A14" s="4" t="s">
        <v>335</v>
      </c>
      <c r="B14" s="4">
        <v>143</v>
      </c>
      <c r="C14" s="4">
        <v>81</v>
      </c>
      <c r="D14" s="4">
        <v>47</v>
      </c>
      <c r="E14" s="4">
        <v>22</v>
      </c>
      <c r="F14" s="4">
        <f t="shared" si="1"/>
        <v>293</v>
      </c>
      <c r="H14" s="4" t="s">
        <v>335</v>
      </c>
      <c r="I14" s="5">
        <f>B14/293</f>
        <v>0.48805460750853241</v>
      </c>
      <c r="J14" s="5">
        <f t="shared" ref="J14:M15" si="10">C14/293</f>
        <v>0.2764505119453925</v>
      </c>
      <c r="K14" s="5">
        <f t="shared" si="10"/>
        <v>0.16040955631399317</v>
      </c>
      <c r="L14" s="5">
        <f t="shared" si="10"/>
        <v>7.5085324232081918E-2</v>
      </c>
      <c r="M14" s="5">
        <f t="shared" si="10"/>
        <v>1</v>
      </c>
    </row>
    <row r="15" spans="1:13" x14ac:dyDescent="0.25">
      <c r="A15" s="4" t="s">
        <v>336</v>
      </c>
      <c r="B15" s="4">
        <v>105</v>
      </c>
      <c r="C15" s="4">
        <v>74</v>
      </c>
      <c r="D15" s="4">
        <v>86</v>
      </c>
      <c r="E15" s="4">
        <v>28</v>
      </c>
      <c r="F15" s="4">
        <f t="shared" si="1"/>
        <v>293</v>
      </c>
      <c r="H15" s="4" t="s">
        <v>336</v>
      </c>
      <c r="I15" s="5">
        <f>B15/293</f>
        <v>0.35836177474402731</v>
      </c>
      <c r="J15" s="5">
        <f t="shared" si="10"/>
        <v>0.25255972696245732</v>
      </c>
      <c r="K15" s="5">
        <f t="shared" si="10"/>
        <v>0.29351535836177473</v>
      </c>
      <c r="L15" s="5">
        <f t="shared" si="10"/>
        <v>9.556313993174062E-2</v>
      </c>
      <c r="M15" s="5">
        <f t="shared" si="1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G41" sqref="G41:G42"/>
    </sheetView>
  </sheetViews>
  <sheetFormatPr defaultRowHeight="15" x14ac:dyDescent="0.25"/>
  <cols>
    <col min="1" max="1" width="9.140625" style="56"/>
    <col min="2" max="2" width="11.42578125" style="56" customWidth="1"/>
    <col min="3" max="3" width="11.85546875" style="56" customWidth="1"/>
    <col min="4" max="4" width="9.140625" style="56"/>
    <col min="5" max="5" width="9.140625" style="2"/>
    <col min="6" max="16384" width="9.140625" style="56"/>
  </cols>
  <sheetData>
    <row r="1" spans="1:4" x14ac:dyDescent="0.25">
      <c r="A1" s="56" t="s">
        <v>8</v>
      </c>
    </row>
    <row r="2" spans="1:4" x14ac:dyDescent="0.25">
      <c r="A2" s="88"/>
      <c r="B2" s="88"/>
      <c r="C2" s="88"/>
      <c r="D2" s="89"/>
    </row>
    <row r="3" spans="1:4" x14ac:dyDescent="0.25">
      <c r="A3" s="90"/>
      <c r="B3" s="91" t="s">
        <v>10</v>
      </c>
      <c r="C3" s="58" t="s">
        <v>78</v>
      </c>
      <c r="D3" s="89"/>
    </row>
    <row r="4" spans="1:4" x14ac:dyDescent="0.25">
      <c r="A4" s="92" t="s">
        <v>54</v>
      </c>
      <c r="B4" s="93">
        <v>1</v>
      </c>
      <c r="C4" s="94">
        <v>0.25316455696202533</v>
      </c>
      <c r="D4" s="89"/>
    </row>
    <row r="5" spans="1:4" x14ac:dyDescent="0.25">
      <c r="A5" s="92" t="s">
        <v>55</v>
      </c>
      <c r="B5" s="93">
        <v>1</v>
      </c>
      <c r="C5" s="94">
        <v>0.25316455696202533</v>
      </c>
      <c r="D5" s="89"/>
    </row>
    <row r="6" spans="1:4" x14ac:dyDescent="0.25">
      <c r="A6" s="92" t="s">
        <v>11</v>
      </c>
      <c r="B6" s="93">
        <v>1</v>
      </c>
      <c r="C6" s="94">
        <v>0.25316455696202533</v>
      </c>
      <c r="D6" s="89"/>
    </row>
    <row r="7" spans="1:4" x14ac:dyDescent="0.25">
      <c r="A7" s="92" t="s">
        <v>56</v>
      </c>
      <c r="B7" s="93">
        <v>1</v>
      </c>
      <c r="C7" s="94">
        <v>0.25316455696202533</v>
      </c>
      <c r="D7" s="89"/>
    </row>
    <row r="8" spans="1:4" x14ac:dyDescent="0.25">
      <c r="A8" s="92" t="s">
        <v>57</v>
      </c>
      <c r="B8" s="93">
        <v>2</v>
      </c>
      <c r="C8" s="94">
        <v>0.50632911392405067</v>
      </c>
      <c r="D8" s="89"/>
    </row>
    <row r="9" spans="1:4" x14ac:dyDescent="0.25">
      <c r="A9" s="92" t="s">
        <v>12</v>
      </c>
      <c r="B9" s="93">
        <v>2</v>
      </c>
      <c r="C9" s="94">
        <v>0.50632911392405067</v>
      </c>
      <c r="D9" s="89"/>
    </row>
    <row r="10" spans="1:4" x14ac:dyDescent="0.25">
      <c r="A10" s="92" t="s">
        <v>13</v>
      </c>
      <c r="B10" s="93">
        <v>3</v>
      </c>
      <c r="C10" s="94">
        <v>0.75949367088607589</v>
      </c>
      <c r="D10" s="89"/>
    </row>
    <row r="11" spans="1:4" x14ac:dyDescent="0.25">
      <c r="A11" s="92" t="s">
        <v>14</v>
      </c>
      <c r="B11" s="93">
        <v>2</v>
      </c>
      <c r="C11" s="94">
        <v>0.50632911392405067</v>
      </c>
      <c r="D11" s="89"/>
    </row>
    <row r="12" spans="1:4" x14ac:dyDescent="0.25">
      <c r="A12" s="92" t="s">
        <v>15</v>
      </c>
      <c r="B12" s="93">
        <v>2</v>
      </c>
      <c r="C12" s="94">
        <v>0.50632911392405067</v>
      </c>
      <c r="D12" s="89"/>
    </row>
    <row r="13" spans="1:4" x14ac:dyDescent="0.25">
      <c r="A13" s="92" t="s">
        <v>58</v>
      </c>
      <c r="B13" s="93">
        <v>1</v>
      </c>
      <c r="C13" s="94">
        <v>0.25316455696202533</v>
      </c>
      <c r="D13" s="89"/>
    </row>
    <row r="14" spans="1:4" x14ac:dyDescent="0.25">
      <c r="A14" s="92" t="s">
        <v>16</v>
      </c>
      <c r="B14" s="93">
        <v>3</v>
      </c>
      <c r="C14" s="94">
        <v>0.75949367088607589</v>
      </c>
      <c r="D14" s="89"/>
    </row>
    <row r="15" spans="1:4" x14ac:dyDescent="0.25">
      <c r="A15" s="92" t="s">
        <v>59</v>
      </c>
      <c r="B15" s="93">
        <v>2</v>
      </c>
      <c r="C15" s="94">
        <v>0.50632911392405067</v>
      </c>
      <c r="D15" s="89"/>
    </row>
    <row r="16" spans="1:4" x14ac:dyDescent="0.25">
      <c r="A16" s="92" t="s">
        <v>60</v>
      </c>
      <c r="B16" s="93">
        <v>3</v>
      </c>
      <c r="C16" s="94">
        <v>0.75949367088607589</v>
      </c>
      <c r="D16" s="89"/>
    </row>
    <row r="17" spans="1:4" x14ac:dyDescent="0.25">
      <c r="A17" s="92" t="s">
        <v>17</v>
      </c>
      <c r="B17" s="93">
        <v>4</v>
      </c>
      <c r="C17" s="95">
        <v>1.0126582278481013</v>
      </c>
      <c r="D17" s="89"/>
    </row>
    <row r="18" spans="1:4" x14ac:dyDescent="0.25">
      <c r="A18" s="92" t="s">
        <v>18</v>
      </c>
      <c r="B18" s="93">
        <v>4</v>
      </c>
      <c r="C18" s="95">
        <v>1.0126582278481013</v>
      </c>
      <c r="D18" s="89"/>
    </row>
    <row r="19" spans="1:4" x14ac:dyDescent="0.25">
      <c r="A19" s="92" t="s">
        <v>19</v>
      </c>
      <c r="B19" s="93">
        <v>1</v>
      </c>
      <c r="C19" s="94">
        <v>0.25316455696202533</v>
      </c>
      <c r="D19" s="89"/>
    </row>
    <row r="20" spans="1:4" x14ac:dyDescent="0.25">
      <c r="A20" s="92" t="s">
        <v>20</v>
      </c>
      <c r="B20" s="93">
        <v>6</v>
      </c>
      <c r="C20" s="95">
        <v>1.5189873417721518</v>
      </c>
      <c r="D20" s="89"/>
    </row>
    <row r="21" spans="1:4" x14ac:dyDescent="0.25">
      <c r="A21" s="92" t="s">
        <v>21</v>
      </c>
      <c r="B21" s="93">
        <v>3</v>
      </c>
      <c r="C21" s="94">
        <v>0.75949367088607589</v>
      </c>
      <c r="D21" s="89"/>
    </row>
    <row r="22" spans="1:4" x14ac:dyDescent="0.25">
      <c r="A22" s="92" t="s">
        <v>22</v>
      </c>
      <c r="B22" s="93">
        <v>5</v>
      </c>
      <c r="C22" s="95">
        <v>1.2658227848101267</v>
      </c>
      <c r="D22" s="89"/>
    </row>
    <row r="23" spans="1:4" x14ac:dyDescent="0.25">
      <c r="A23" s="92" t="s">
        <v>23</v>
      </c>
      <c r="B23" s="93">
        <v>6</v>
      </c>
      <c r="C23" s="95">
        <v>1.5189873417721518</v>
      </c>
      <c r="D23" s="89"/>
    </row>
    <row r="24" spans="1:4" x14ac:dyDescent="0.25">
      <c r="A24" s="92" t="s">
        <v>25</v>
      </c>
      <c r="B24" s="93">
        <v>5</v>
      </c>
      <c r="C24" s="95">
        <v>1.2658227848101267</v>
      </c>
      <c r="D24" s="89"/>
    </row>
    <row r="25" spans="1:4" x14ac:dyDescent="0.25">
      <c r="A25" s="92" t="s">
        <v>26</v>
      </c>
      <c r="B25" s="93">
        <v>9</v>
      </c>
      <c r="C25" s="95">
        <v>2.278481012658228</v>
      </c>
      <c r="D25" s="89"/>
    </row>
    <row r="26" spans="1:4" x14ac:dyDescent="0.25">
      <c r="A26" s="92" t="s">
        <v>27</v>
      </c>
      <c r="B26" s="93">
        <v>9</v>
      </c>
      <c r="C26" s="95">
        <v>2.278481012658228</v>
      </c>
      <c r="D26" s="89"/>
    </row>
    <row r="27" spans="1:4" x14ac:dyDescent="0.25">
      <c r="A27" s="92" t="s">
        <v>28</v>
      </c>
      <c r="B27" s="93">
        <v>3</v>
      </c>
      <c r="C27" s="94">
        <v>0.75949367088607589</v>
      </c>
      <c r="D27" s="89"/>
    </row>
    <row r="28" spans="1:4" x14ac:dyDescent="0.25">
      <c r="A28" s="92" t="s">
        <v>29</v>
      </c>
      <c r="B28" s="93">
        <v>4</v>
      </c>
      <c r="C28" s="95">
        <v>1.0126582278481013</v>
      </c>
      <c r="D28" s="89"/>
    </row>
    <row r="29" spans="1:4" x14ac:dyDescent="0.25">
      <c r="A29" s="92" t="s">
        <v>30</v>
      </c>
      <c r="B29" s="93">
        <v>7</v>
      </c>
      <c r="C29" s="95">
        <v>1.7721518987341773</v>
      </c>
      <c r="D29" s="89"/>
    </row>
    <row r="30" spans="1:4" x14ac:dyDescent="0.25">
      <c r="A30" s="92" t="s">
        <v>31</v>
      </c>
      <c r="B30" s="93">
        <v>11</v>
      </c>
      <c r="C30" s="95">
        <v>2.7848101265822782</v>
      </c>
      <c r="D30" s="89"/>
    </row>
    <row r="31" spans="1:4" x14ac:dyDescent="0.25">
      <c r="A31" s="92" t="s">
        <v>32</v>
      </c>
      <c r="B31" s="93">
        <v>9</v>
      </c>
      <c r="C31" s="95">
        <v>2.278481012658228</v>
      </c>
      <c r="D31" s="89"/>
    </row>
    <row r="32" spans="1:4" x14ac:dyDescent="0.25">
      <c r="A32" s="92" t="s">
        <v>33</v>
      </c>
      <c r="B32" s="93">
        <v>6</v>
      </c>
      <c r="C32" s="95">
        <v>1.5189873417721518</v>
      </c>
      <c r="D32" s="89"/>
    </row>
    <row r="33" spans="1:5" x14ac:dyDescent="0.25">
      <c r="A33" s="92" t="s">
        <v>34</v>
      </c>
      <c r="B33" s="93">
        <v>8</v>
      </c>
      <c r="C33" s="95">
        <v>2.0253164556962027</v>
      </c>
      <c r="D33" s="89"/>
    </row>
    <row r="34" spans="1:5" ht="15.75" thickBot="1" x14ac:dyDescent="0.3">
      <c r="A34" s="134" t="s">
        <v>35</v>
      </c>
      <c r="B34" s="135">
        <v>4</v>
      </c>
      <c r="C34" s="136">
        <v>1.0126582278481013</v>
      </c>
      <c r="D34" s="137">
        <f>SUM(B4:B34)</f>
        <v>128</v>
      </c>
      <c r="E34" s="138">
        <f>D34/B52</f>
        <v>0.32405063291139241</v>
      </c>
    </row>
    <row r="35" spans="1:5" x14ac:dyDescent="0.25">
      <c r="A35" s="131" t="s">
        <v>36</v>
      </c>
      <c r="B35" s="132">
        <v>12</v>
      </c>
      <c r="C35" s="133">
        <v>3.0379746835443036</v>
      </c>
      <c r="D35" s="89"/>
    </row>
    <row r="36" spans="1:5" x14ac:dyDescent="0.25">
      <c r="A36" s="127" t="s">
        <v>37</v>
      </c>
      <c r="B36" s="128">
        <v>19</v>
      </c>
      <c r="C36" s="129">
        <v>4.8101265822784809</v>
      </c>
      <c r="D36" s="89"/>
    </row>
    <row r="37" spans="1:5" x14ac:dyDescent="0.25">
      <c r="A37" s="127" t="s">
        <v>38</v>
      </c>
      <c r="B37" s="128">
        <v>15</v>
      </c>
      <c r="C37" s="129">
        <v>3.79746835443038</v>
      </c>
      <c r="D37" s="89"/>
    </row>
    <row r="38" spans="1:5" x14ac:dyDescent="0.25">
      <c r="A38" s="127" t="s">
        <v>39</v>
      </c>
      <c r="B38" s="128">
        <v>3</v>
      </c>
      <c r="C38" s="130">
        <v>0.75949367088607589</v>
      </c>
      <c r="D38" s="89"/>
    </row>
    <row r="39" spans="1:5" x14ac:dyDescent="0.25">
      <c r="A39" s="127" t="s">
        <v>40</v>
      </c>
      <c r="B39" s="128">
        <v>8</v>
      </c>
      <c r="C39" s="129">
        <v>2.0253164556962027</v>
      </c>
      <c r="D39" s="89"/>
    </row>
    <row r="40" spans="1:5" x14ac:dyDescent="0.25">
      <c r="A40" s="127" t="s">
        <v>41</v>
      </c>
      <c r="B40" s="128">
        <v>22</v>
      </c>
      <c r="C40" s="129">
        <v>5.5696202531645564</v>
      </c>
      <c r="D40" s="89"/>
    </row>
    <row r="41" spans="1:5" x14ac:dyDescent="0.25">
      <c r="A41" s="127" t="s">
        <v>42</v>
      </c>
      <c r="B41" s="128">
        <v>13</v>
      </c>
      <c r="C41" s="129">
        <v>3.2911392405063293</v>
      </c>
      <c r="D41" s="89"/>
    </row>
    <row r="42" spans="1:5" x14ac:dyDescent="0.25">
      <c r="A42" s="127" t="s">
        <v>43</v>
      </c>
      <c r="B42" s="128">
        <v>9</v>
      </c>
      <c r="C42" s="129">
        <v>2.278481012658228</v>
      </c>
      <c r="D42" s="89"/>
    </row>
    <row r="43" spans="1:5" x14ac:dyDescent="0.25">
      <c r="A43" s="127" t="s">
        <v>44</v>
      </c>
      <c r="B43" s="128">
        <v>17</v>
      </c>
      <c r="C43" s="129">
        <v>4.3037974683544302</v>
      </c>
      <c r="D43" s="89"/>
    </row>
    <row r="44" spans="1:5" x14ac:dyDescent="0.25">
      <c r="A44" s="127" t="s">
        <v>45</v>
      </c>
      <c r="B44" s="128">
        <v>12</v>
      </c>
      <c r="C44" s="129">
        <v>3.0379746835443036</v>
      </c>
      <c r="D44" s="89"/>
    </row>
    <row r="45" spans="1:5" x14ac:dyDescent="0.25">
      <c r="A45" s="127" t="s">
        <v>46</v>
      </c>
      <c r="B45" s="128">
        <v>17</v>
      </c>
      <c r="C45" s="129">
        <v>4.3037974683544302</v>
      </c>
      <c r="D45" s="89"/>
    </row>
    <row r="46" spans="1:5" x14ac:dyDescent="0.25">
      <c r="A46" s="127" t="s">
        <v>47</v>
      </c>
      <c r="B46" s="128">
        <v>16</v>
      </c>
      <c r="C46" s="129">
        <v>4.0506329113924053</v>
      </c>
      <c r="D46" s="89"/>
    </row>
    <row r="47" spans="1:5" x14ac:dyDescent="0.25">
      <c r="A47" s="127" t="s">
        <v>48</v>
      </c>
      <c r="B47" s="128">
        <v>18</v>
      </c>
      <c r="C47" s="129">
        <v>4.556962025316456</v>
      </c>
      <c r="D47" s="89"/>
    </row>
    <row r="48" spans="1:5" x14ac:dyDescent="0.25">
      <c r="A48" s="127" t="s">
        <v>49</v>
      </c>
      <c r="B48" s="128">
        <v>24</v>
      </c>
      <c r="C48" s="129">
        <v>6.0759493670886071</v>
      </c>
      <c r="D48" s="89"/>
    </row>
    <row r="49" spans="1:5" x14ac:dyDescent="0.25">
      <c r="A49" s="127" t="s">
        <v>50</v>
      </c>
      <c r="B49" s="128">
        <v>21</v>
      </c>
      <c r="C49" s="129">
        <v>5.3164556962025316</v>
      </c>
      <c r="D49" s="89"/>
    </row>
    <row r="50" spans="1:5" x14ac:dyDescent="0.25">
      <c r="A50" s="127" t="s">
        <v>51</v>
      </c>
      <c r="B50" s="128">
        <v>23</v>
      </c>
      <c r="C50" s="129">
        <v>5.8227848101265822</v>
      </c>
      <c r="D50" s="89"/>
    </row>
    <row r="51" spans="1:5" x14ac:dyDescent="0.25">
      <c r="A51" s="127" t="s">
        <v>52</v>
      </c>
      <c r="B51" s="128">
        <v>18</v>
      </c>
      <c r="C51" s="129">
        <v>4.556962025316456</v>
      </c>
      <c r="D51" s="96">
        <f>SUM(B35:B51)</f>
        <v>267</v>
      </c>
      <c r="E51" s="2">
        <f>D51/B52</f>
        <v>0.67594936708860764</v>
      </c>
    </row>
    <row r="52" spans="1:5" x14ac:dyDescent="0.25">
      <c r="A52" s="97" t="s">
        <v>53</v>
      </c>
      <c r="B52" s="93">
        <v>395</v>
      </c>
      <c r="C52" s="95">
        <v>100</v>
      </c>
      <c r="D52" s="89"/>
    </row>
  </sheetData>
  <pageMargins left="0.7" right="0.7" top="0.75" bottom="0.75" header="0.3" footer="0.3"/>
  <ignoredErrors>
    <ignoredError sqref="D34:E5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H27" sqref="H27"/>
    </sheetView>
  </sheetViews>
  <sheetFormatPr defaultRowHeight="15" x14ac:dyDescent="0.25"/>
  <cols>
    <col min="1" max="1" width="53.7109375" customWidth="1"/>
    <col min="8" max="8" width="49.85546875" customWidth="1"/>
  </cols>
  <sheetData>
    <row r="1" spans="1:13" x14ac:dyDescent="0.25">
      <c r="A1" s="3" t="s">
        <v>340</v>
      </c>
    </row>
    <row r="3" spans="1:13" x14ac:dyDescent="0.25">
      <c r="A3" s="4"/>
      <c r="B3" s="4" t="s">
        <v>337</v>
      </c>
      <c r="C3" s="4" t="s">
        <v>338</v>
      </c>
      <c r="D3" s="4" t="s">
        <v>339</v>
      </c>
      <c r="E3" s="4" t="s">
        <v>275</v>
      </c>
      <c r="F3" s="4" t="s">
        <v>53</v>
      </c>
      <c r="H3" s="4"/>
      <c r="I3" s="4" t="s">
        <v>337</v>
      </c>
      <c r="J3" s="4" t="s">
        <v>338</v>
      </c>
      <c r="K3" s="4" t="s">
        <v>339</v>
      </c>
      <c r="L3" s="4" t="s">
        <v>275</v>
      </c>
      <c r="M3" s="4" t="s">
        <v>53</v>
      </c>
    </row>
    <row r="4" spans="1:13" x14ac:dyDescent="0.25">
      <c r="A4" s="18" t="s">
        <v>341</v>
      </c>
      <c r="B4" s="4">
        <v>68</v>
      </c>
      <c r="C4" s="4">
        <v>73</v>
      </c>
      <c r="D4" s="4">
        <v>44</v>
      </c>
      <c r="E4" s="4">
        <v>103</v>
      </c>
      <c r="F4" s="4">
        <f>SUM(B4:E4)</f>
        <v>288</v>
      </c>
      <c r="H4" s="18" t="s">
        <v>341</v>
      </c>
      <c r="I4" s="5">
        <f>B4/288</f>
        <v>0.2361111111111111</v>
      </c>
      <c r="J4" s="5">
        <f t="shared" ref="J4:M4" si="0">C4/288</f>
        <v>0.25347222222222221</v>
      </c>
      <c r="K4" s="5">
        <f t="shared" si="0"/>
        <v>0.15277777777777779</v>
      </c>
      <c r="L4" s="5">
        <f t="shared" si="0"/>
        <v>0.3576388888888889</v>
      </c>
      <c r="M4" s="5">
        <f t="shared" si="0"/>
        <v>1</v>
      </c>
    </row>
    <row r="5" spans="1:13" x14ac:dyDescent="0.25">
      <c r="A5" s="18" t="s">
        <v>342</v>
      </c>
      <c r="B5" s="4">
        <v>52</v>
      </c>
      <c r="C5" s="4">
        <v>36</v>
      </c>
      <c r="D5" s="4">
        <v>74</v>
      </c>
      <c r="E5" s="4">
        <v>118</v>
      </c>
      <c r="F5" s="4">
        <f t="shared" ref="F5:F11" si="1">SUM(B5:E5)</f>
        <v>280</v>
      </c>
      <c r="H5" s="18" t="s">
        <v>342</v>
      </c>
      <c r="I5" s="5">
        <f>B5/280</f>
        <v>0.18571428571428572</v>
      </c>
      <c r="J5" s="5">
        <f t="shared" ref="J5:M5" si="2">C5/280</f>
        <v>0.12857142857142856</v>
      </c>
      <c r="K5" s="5">
        <f t="shared" si="2"/>
        <v>0.26428571428571429</v>
      </c>
      <c r="L5" s="5">
        <f t="shared" si="2"/>
        <v>0.42142857142857143</v>
      </c>
      <c r="M5" s="5">
        <f t="shared" si="2"/>
        <v>1</v>
      </c>
    </row>
    <row r="6" spans="1:13" ht="30" x14ac:dyDescent="0.25">
      <c r="A6" s="18" t="s">
        <v>343</v>
      </c>
      <c r="B6" s="4">
        <v>52</v>
      </c>
      <c r="C6" s="4">
        <v>45</v>
      </c>
      <c r="D6" s="4">
        <v>124</v>
      </c>
      <c r="E6" s="4">
        <v>61</v>
      </c>
      <c r="F6" s="4">
        <f t="shared" si="1"/>
        <v>282</v>
      </c>
      <c r="H6" s="18" t="s">
        <v>343</v>
      </c>
      <c r="I6" s="5">
        <f>B6/282</f>
        <v>0.18439716312056736</v>
      </c>
      <c r="J6" s="5">
        <f t="shared" ref="J6:M6" si="3">C6/282</f>
        <v>0.15957446808510639</v>
      </c>
      <c r="K6" s="5">
        <f t="shared" si="3"/>
        <v>0.43971631205673761</v>
      </c>
      <c r="L6" s="5">
        <f t="shared" si="3"/>
        <v>0.21631205673758866</v>
      </c>
      <c r="M6" s="5">
        <f t="shared" si="3"/>
        <v>1</v>
      </c>
    </row>
    <row r="7" spans="1:13" x14ac:dyDescent="0.25">
      <c r="A7" s="18" t="s">
        <v>344</v>
      </c>
      <c r="B7" s="4">
        <v>83</v>
      </c>
      <c r="C7" s="4">
        <v>65</v>
      </c>
      <c r="D7" s="4">
        <v>93</v>
      </c>
      <c r="E7" s="4">
        <v>47</v>
      </c>
      <c r="F7" s="4">
        <f t="shared" si="1"/>
        <v>288</v>
      </c>
      <c r="H7" s="18" t="s">
        <v>344</v>
      </c>
      <c r="I7" s="5">
        <f>B7/288</f>
        <v>0.28819444444444442</v>
      </c>
      <c r="J7" s="5">
        <f t="shared" ref="J7:M7" si="4">C7/288</f>
        <v>0.22569444444444445</v>
      </c>
      <c r="K7" s="5">
        <f t="shared" si="4"/>
        <v>0.32291666666666669</v>
      </c>
      <c r="L7" s="5">
        <f t="shared" si="4"/>
        <v>0.16319444444444445</v>
      </c>
      <c r="M7" s="5">
        <f t="shared" si="4"/>
        <v>1</v>
      </c>
    </row>
    <row r="8" spans="1:13" x14ac:dyDescent="0.25">
      <c r="A8" s="18" t="s">
        <v>345</v>
      </c>
      <c r="B8" s="4">
        <v>38</v>
      </c>
      <c r="C8" s="4">
        <v>44</v>
      </c>
      <c r="D8" s="4">
        <v>109</v>
      </c>
      <c r="E8" s="4">
        <v>96</v>
      </c>
      <c r="F8" s="4">
        <f t="shared" si="1"/>
        <v>287</v>
      </c>
      <c r="H8" s="18" t="s">
        <v>345</v>
      </c>
      <c r="I8" s="5">
        <f>B8/287</f>
        <v>0.13240418118466898</v>
      </c>
      <c r="J8" s="5">
        <f t="shared" ref="J8:M8" si="5">C8/287</f>
        <v>0.15331010452961671</v>
      </c>
      <c r="K8" s="5">
        <f t="shared" si="5"/>
        <v>0.37979094076655051</v>
      </c>
      <c r="L8" s="5">
        <f t="shared" si="5"/>
        <v>0.33449477351916379</v>
      </c>
      <c r="M8" s="5">
        <f t="shared" si="5"/>
        <v>1</v>
      </c>
    </row>
    <row r="9" spans="1:13" x14ac:dyDescent="0.25">
      <c r="A9" s="18" t="s">
        <v>346</v>
      </c>
      <c r="B9" s="4">
        <v>19</v>
      </c>
      <c r="C9" s="4">
        <v>18</v>
      </c>
      <c r="D9" s="4">
        <v>59</v>
      </c>
      <c r="E9" s="4">
        <v>185</v>
      </c>
      <c r="F9" s="4">
        <f t="shared" si="1"/>
        <v>281</v>
      </c>
      <c r="H9" s="18" t="s">
        <v>346</v>
      </c>
      <c r="I9" s="5">
        <f>B9/281</f>
        <v>6.7615658362989328E-2</v>
      </c>
      <c r="J9" s="5">
        <f t="shared" ref="J9:M9" si="6">C9/281</f>
        <v>6.4056939501779361E-2</v>
      </c>
      <c r="K9" s="5">
        <f t="shared" si="6"/>
        <v>0.20996441281138789</v>
      </c>
      <c r="L9" s="5">
        <f t="shared" si="6"/>
        <v>0.65836298932384341</v>
      </c>
      <c r="M9" s="5">
        <f t="shared" si="6"/>
        <v>1</v>
      </c>
    </row>
    <row r="10" spans="1:13" x14ac:dyDescent="0.25">
      <c r="A10" s="18" t="s">
        <v>347</v>
      </c>
      <c r="B10" s="4">
        <v>107</v>
      </c>
      <c r="C10" s="4">
        <v>61</v>
      </c>
      <c r="D10" s="4">
        <v>68</v>
      </c>
      <c r="E10" s="4">
        <v>50</v>
      </c>
      <c r="F10" s="4">
        <f t="shared" si="1"/>
        <v>286</v>
      </c>
      <c r="H10" s="18" t="s">
        <v>347</v>
      </c>
      <c r="I10" s="5">
        <f>B10/286</f>
        <v>0.37412587412587411</v>
      </c>
      <c r="J10" s="5">
        <f t="shared" ref="J10:M10" si="7">C10/286</f>
        <v>0.21328671328671328</v>
      </c>
      <c r="K10" s="5">
        <f t="shared" si="7"/>
        <v>0.23776223776223776</v>
      </c>
      <c r="L10" s="5">
        <f t="shared" si="7"/>
        <v>0.17482517482517482</v>
      </c>
      <c r="M10" s="5">
        <f t="shared" si="7"/>
        <v>1</v>
      </c>
    </row>
    <row r="11" spans="1:13" ht="60" x14ac:dyDescent="0.25">
      <c r="A11" s="18" t="s">
        <v>348</v>
      </c>
      <c r="B11" s="4">
        <v>28</v>
      </c>
      <c r="C11" s="4">
        <v>23</v>
      </c>
      <c r="D11" s="4">
        <v>112</v>
      </c>
      <c r="E11" s="4">
        <v>124</v>
      </c>
      <c r="F11" s="4">
        <f t="shared" si="1"/>
        <v>287</v>
      </c>
      <c r="H11" s="18" t="s">
        <v>348</v>
      </c>
      <c r="I11" s="5">
        <f>B11/287</f>
        <v>9.7560975609756101E-2</v>
      </c>
      <c r="J11" s="5">
        <f t="shared" ref="J11:M11" si="8">C11/287</f>
        <v>8.0139372822299645E-2</v>
      </c>
      <c r="K11" s="5">
        <f t="shared" si="8"/>
        <v>0.3902439024390244</v>
      </c>
      <c r="L11" s="5">
        <f t="shared" si="8"/>
        <v>0.43205574912891986</v>
      </c>
      <c r="M11" s="5">
        <f t="shared" si="8"/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7" sqref="H7:K7"/>
    </sheetView>
  </sheetViews>
  <sheetFormatPr defaultRowHeight="15" x14ac:dyDescent="0.25"/>
  <cols>
    <col min="1" max="1" width="36.140625" customWidth="1"/>
    <col min="2" max="2" width="10.7109375" bestFit="1" customWidth="1"/>
    <col min="3" max="3" width="12.85546875" bestFit="1" customWidth="1"/>
    <col min="7" max="7" width="36.140625" customWidth="1"/>
    <col min="8" max="8" width="10.7109375" bestFit="1" customWidth="1"/>
    <col min="9" max="9" width="12.85546875" bestFit="1" customWidth="1"/>
  </cols>
  <sheetData>
    <row r="1" spans="1:11" x14ac:dyDescent="0.25">
      <c r="A1" t="s">
        <v>349</v>
      </c>
    </row>
    <row r="3" spans="1:11" x14ac:dyDescent="0.25">
      <c r="A3" s="4"/>
      <c r="B3" s="4" t="s">
        <v>250</v>
      </c>
      <c r="C3" s="4" t="s">
        <v>355</v>
      </c>
      <c r="D3" s="4" t="s">
        <v>240</v>
      </c>
      <c r="E3" s="4" t="s">
        <v>53</v>
      </c>
      <c r="G3" s="4"/>
      <c r="H3" s="4" t="s">
        <v>250</v>
      </c>
      <c r="I3" s="4" t="s">
        <v>355</v>
      </c>
      <c r="J3" s="4" t="s">
        <v>240</v>
      </c>
      <c r="K3" s="4" t="s">
        <v>53</v>
      </c>
    </row>
    <row r="4" spans="1:11" x14ac:dyDescent="0.25">
      <c r="A4" s="18" t="s">
        <v>350</v>
      </c>
      <c r="B4" s="4">
        <v>122</v>
      </c>
      <c r="C4" s="4">
        <v>127</v>
      </c>
      <c r="D4" s="4">
        <v>35</v>
      </c>
      <c r="E4" s="4">
        <f>SUM(B4:D4)</f>
        <v>284</v>
      </c>
      <c r="G4" s="18" t="s">
        <v>350</v>
      </c>
      <c r="H4" s="5">
        <f>B4/284</f>
        <v>0.42957746478873238</v>
      </c>
      <c r="I4" s="5">
        <f t="shared" ref="I4:K4" si="0">C4/284</f>
        <v>0.44718309859154931</v>
      </c>
      <c r="J4" s="5">
        <f t="shared" si="0"/>
        <v>0.12323943661971831</v>
      </c>
      <c r="K4" s="5">
        <f t="shared" si="0"/>
        <v>1</v>
      </c>
    </row>
    <row r="5" spans="1:11" x14ac:dyDescent="0.25">
      <c r="A5" s="18" t="s">
        <v>351</v>
      </c>
      <c r="B5" s="4">
        <v>51</v>
      </c>
      <c r="C5" s="4">
        <v>116</v>
      </c>
      <c r="D5" s="4">
        <v>111</v>
      </c>
      <c r="E5" s="4">
        <f t="shared" ref="E5:E8" si="1">SUM(B5:D5)</f>
        <v>278</v>
      </c>
      <c r="G5" s="18" t="s">
        <v>351</v>
      </c>
      <c r="H5" s="5">
        <f>B5/278</f>
        <v>0.18345323741007194</v>
      </c>
      <c r="I5" s="5">
        <f t="shared" ref="I5:K5" si="2">C5/278</f>
        <v>0.41726618705035973</v>
      </c>
      <c r="J5" s="5">
        <f t="shared" si="2"/>
        <v>0.39928057553956836</v>
      </c>
      <c r="K5" s="5">
        <f t="shared" si="2"/>
        <v>1</v>
      </c>
    </row>
    <row r="6" spans="1:11" x14ac:dyDescent="0.25">
      <c r="A6" s="18" t="s">
        <v>352</v>
      </c>
      <c r="B6" s="4">
        <v>86</v>
      </c>
      <c r="C6" s="4">
        <v>97</v>
      </c>
      <c r="D6" s="4">
        <v>96</v>
      </c>
      <c r="E6" s="4">
        <f t="shared" si="1"/>
        <v>279</v>
      </c>
      <c r="G6" s="18" t="s">
        <v>352</v>
      </c>
      <c r="H6" s="5">
        <f>B6/279</f>
        <v>0.30824372759856633</v>
      </c>
      <c r="I6" s="5">
        <f t="shared" ref="I6:K6" si="3">C6/279</f>
        <v>0.34767025089605735</v>
      </c>
      <c r="J6" s="5">
        <f t="shared" si="3"/>
        <v>0.34408602150537637</v>
      </c>
      <c r="K6" s="5">
        <f t="shared" si="3"/>
        <v>1</v>
      </c>
    </row>
    <row r="7" spans="1:11" x14ac:dyDescent="0.25">
      <c r="A7" s="18" t="s">
        <v>353</v>
      </c>
      <c r="B7" s="4">
        <v>72</v>
      </c>
      <c r="C7" s="4">
        <v>97</v>
      </c>
      <c r="D7" s="4">
        <v>113</v>
      </c>
      <c r="E7" s="4">
        <f t="shared" si="1"/>
        <v>282</v>
      </c>
      <c r="G7" s="18" t="s">
        <v>353</v>
      </c>
      <c r="H7" s="5">
        <f>B7/282</f>
        <v>0.25531914893617019</v>
      </c>
      <c r="I7" s="5">
        <f t="shared" ref="I7:K7" si="4">C7/282</f>
        <v>0.34397163120567376</v>
      </c>
      <c r="J7" s="5">
        <f t="shared" si="4"/>
        <v>0.40070921985815605</v>
      </c>
      <c r="K7" s="5">
        <f t="shared" si="4"/>
        <v>1</v>
      </c>
    </row>
    <row r="8" spans="1:11" ht="30" x14ac:dyDescent="0.25">
      <c r="A8" s="18" t="s">
        <v>354</v>
      </c>
      <c r="B8" s="4">
        <v>18</v>
      </c>
      <c r="C8" s="4">
        <v>30</v>
      </c>
      <c r="D8" s="4">
        <v>231</v>
      </c>
      <c r="E8" s="4">
        <f t="shared" si="1"/>
        <v>279</v>
      </c>
      <c r="G8" s="18" t="s">
        <v>354</v>
      </c>
      <c r="H8" s="5">
        <f>B8/279</f>
        <v>6.4516129032258063E-2</v>
      </c>
      <c r="I8" s="5">
        <f t="shared" ref="I8:K8" si="5">C8/279</f>
        <v>0.10752688172043011</v>
      </c>
      <c r="J8" s="5">
        <f t="shared" si="5"/>
        <v>0.82795698924731187</v>
      </c>
      <c r="K8" s="5">
        <f t="shared" si="5"/>
        <v>1</v>
      </c>
    </row>
  </sheetData>
  <pageMargins left="0.7" right="0.7" top="0.75" bottom="0.75" header="0.3" footer="0.3"/>
  <ignoredErrors>
    <ignoredError sqref="H7:K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I9" sqref="I9:M9"/>
    </sheetView>
  </sheetViews>
  <sheetFormatPr defaultRowHeight="15" x14ac:dyDescent="0.25"/>
  <cols>
    <col min="1" max="1" width="62.42578125" style="20" customWidth="1"/>
    <col min="2" max="2" width="11.140625" customWidth="1"/>
    <col min="3" max="3" width="12" customWidth="1"/>
    <col min="4" max="4" width="15.140625" customWidth="1"/>
    <col min="5" max="5" width="13.5703125" customWidth="1"/>
    <col min="8" max="8" width="58.7109375" customWidth="1"/>
    <col min="9" max="9" width="12" customWidth="1"/>
    <col min="10" max="10" width="12.7109375" customWidth="1"/>
    <col min="11" max="11" width="13.42578125" customWidth="1"/>
  </cols>
  <sheetData>
    <row r="1" spans="1:13" x14ac:dyDescent="0.25">
      <c r="A1" s="28" t="s">
        <v>356</v>
      </c>
    </row>
    <row r="3" spans="1:13" s="20" customFormat="1" ht="30" x14ac:dyDescent="0.25">
      <c r="A3" s="18"/>
      <c r="B3" s="18" t="s">
        <v>207</v>
      </c>
      <c r="C3" s="18" t="s">
        <v>98</v>
      </c>
      <c r="D3" s="18" t="s">
        <v>99</v>
      </c>
      <c r="E3" s="18" t="s">
        <v>100</v>
      </c>
      <c r="F3" s="18" t="s">
        <v>53</v>
      </c>
      <c r="H3" s="18"/>
      <c r="I3" s="18" t="s">
        <v>207</v>
      </c>
      <c r="J3" s="18" t="s">
        <v>98</v>
      </c>
      <c r="K3" s="18" t="s">
        <v>99</v>
      </c>
      <c r="L3" s="18" t="s">
        <v>100</v>
      </c>
      <c r="M3" s="18" t="s">
        <v>53</v>
      </c>
    </row>
    <row r="4" spans="1:13" x14ac:dyDescent="0.25">
      <c r="A4" s="18" t="s">
        <v>357</v>
      </c>
      <c r="B4" s="4">
        <v>118</v>
      </c>
      <c r="C4" s="4">
        <v>118</v>
      </c>
      <c r="D4" s="4">
        <v>24</v>
      </c>
      <c r="E4" s="4">
        <v>18</v>
      </c>
      <c r="F4" s="4">
        <f>SUM(B4:E4)</f>
        <v>278</v>
      </c>
      <c r="H4" s="18" t="s">
        <v>357</v>
      </c>
      <c r="I4" s="5">
        <f>B4/278</f>
        <v>0.42446043165467628</v>
      </c>
      <c r="J4" s="5">
        <f t="shared" ref="J4:M4" si="0">C4/278</f>
        <v>0.42446043165467628</v>
      </c>
      <c r="K4" s="5">
        <f t="shared" si="0"/>
        <v>8.6330935251798566E-2</v>
      </c>
      <c r="L4" s="5">
        <f t="shared" si="0"/>
        <v>6.4748201438848921E-2</v>
      </c>
      <c r="M4" s="5">
        <f t="shared" si="0"/>
        <v>1</v>
      </c>
    </row>
    <row r="5" spans="1:13" x14ac:dyDescent="0.25">
      <c r="A5" s="18" t="s">
        <v>358</v>
      </c>
      <c r="B5" s="4">
        <v>195</v>
      </c>
      <c r="C5" s="4">
        <v>70</v>
      </c>
      <c r="D5" s="4">
        <v>5</v>
      </c>
      <c r="E5" s="4">
        <v>4</v>
      </c>
      <c r="F5" s="4">
        <f t="shared" ref="F5:F12" si="1">SUM(B5:E5)</f>
        <v>274</v>
      </c>
      <c r="H5" s="18" t="s">
        <v>358</v>
      </c>
      <c r="I5" s="5">
        <f>B5/274</f>
        <v>0.71167883211678828</v>
      </c>
      <c r="J5" s="5">
        <f t="shared" ref="J5:M5" si="2">C5/274</f>
        <v>0.25547445255474455</v>
      </c>
      <c r="K5" s="5">
        <f t="shared" si="2"/>
        <v>1.824817518248175E-2</v>
      </c>
      <c r="L5" s="5">
        <f t="shared" si="2"/>
        <v>1.4598540145985401E-2</v>
      </c>
      <c r="M5" s="5">
        <f t="shared" si="2"/>
        <v>1</v>
      </c>
    </row>
    <row r="6" spans="1:13" x14ac:dyDescent="0.25">
      <c r="A6" s="18" t="s">
        <v>359</v>
      </c>
      <c r="B6" s="4">
        <v>156</v>
      </c>
      <c r="C6" s="4">
        <v>103</v>
      </c>
      <c r="D6" s="4">
        <v>13</v>
      </c>
      <c r="E6" s="4">
        <v>3</v>
      </c>
      <c r="F6" s="4">
        <f t="shared" si="1"/>
        <v>275</v>
      </c>
      <c r="H6" s="18" t="s">
        <v>359</v>
      </c>
      <c r="I6" s="5">
        <f>B6/275</f>
        <v>0.56727272727272726</v>
      </c>
      <c r="J6" s="5">
        <f t="shared" ref="J6:M6" si="3">C6/275</f>
        <v>0.37454545454545457</v>
      </c>
      <c r="K6" s="5">
        <f t="shared" si="3"/>
        <v>4.7272727272727272E-2</v>
      </c>
      <c r="L6" s="5">
        <f t="shared" si="3"/>
        <v>1.090909090909091E-2</v>
      </c>
      <c r="M6" s="5">
        <f t="shared" si="3"/>
        <v>1</v>
      </c>
    </row>
    <row r="7" spans="1:13" x14ac:dyDescent="0.25">
      <c r="A7" s="18" t="s">
        <v>360</v>
      </c>
      <c r="B7" s="4">
        <v>101</v>
      </c>
      <c r="C7" s="4">
        <v>130</v>
      </c>
      <c r="D7" s="4">
        <v>34</v>
      </c>
      <c r="E7" s="4">
        <v>11</v>
      </c>
      <c r="F7" s="4">
        <f t="shared" si="1"/>
        <v>276</v>
      </c>
      <c r="H7" s="18" t="s">
        <v>360</v>
      </c>
      <c r="I7" s="5">
        <f>B7/276</f>
        <v>0.36594202898550726</v>
      </c>
      <c r="J7" s="5">
        <f t="shared" ref="J7:M7" si="4">C7/276</f>
        <v>0.47101449275362317</v>
      </c>
      <c r="K7" s="5">
        <f t="shared" si="4"/>
        <v>0.12318840579710146</v>
      </c>
      <c r="L7" s="5">
        <f t="shared" si="4"/>
        <v>3.9855072463768113E-2</v>
      </c>
      <c r="M7" s="5">
        <f t="shared" si="4"/>
        <v>1</v>
      </c>
    </row>
    <row r="8" spans="1:13" x14ac:dyDescent="0.25">
      <c r="A8" s="18" t="s">
        <v>361</v>
      </c>
      <c r="B8" s="4">
        <v>71</v>
      </c>
      <c r="C8" s="4">
        <v>123</v>
      </c>
      <c r="D8" s="4">
        <v>64</v>
      </c>
      <c r="E8" s="4">
        <v>19</v>
      </c>
      <c r="F8" s="4">
        <f t="shared" si="1"/>
        <v>277</v>
      </c>
      <c r="H8" s="18" t="s">
        <v>361</v>
      </c>
      <c r="I8" s="5">
        <f>B8/277</f>
        <v>0.2563176895306859</v>
      </c>
      <c r="J8" s="5">
        <f t="shared" ref="J8:M8" si="5">C8/277</f>
        <v>0.44404332129963897</v>
      </c>
      <c r="K8" s="5">
        <f t="shared" si="5"/>
        <v>0.23104693140794225</v>
      </c>
      <c r="L8" s="5">
        <f t="shared" si="5"/>
        <v>6.8592057761732855E-2</v>
      </c>
      <c r="M8" s="5">
        <f t="shared" si="5"/>
        <v>1</v>
      </c>
    </row>
    <row r="9" spans="1:13" x14ac:dyDescent="0.25">
      <c r="A9" s="18" t="s">
        <v>362</v>
      </c>
      <c r="B9" s="4">
        <v>92</v>
      </c>
      <c r="C9" s="4">
        <v>136</v>
      </c>
      <c r="D9" s="4">
        <v>34</v>
      </c>
      <c r="E9" s="4">
        <v>13</v>
      </c>
      <c r="F9" s="4">
        <f t="shared" si="1"/>
        <v>275</v>
      </c>
      <c r="H9" s="18" t="s">
        <v>362</v>
      </c>
      <c r="I9" s="5">
        <f>B9/275</f>
        <v>0.33454545454545453</v>
      </c>
      <c r="J9" s="5">
        <f t="shared" ref="J9:M9" si="6">C9/275</f>
        <v>0.49454545454545457</v>
      </c>
      <c r="K9" s="5">
        <f t="shared" si="6"/>
        <v>0.12363636363636364</v>
      </c>
      <c r="L9" s="5">
        <f t="shared" si="6"/>
        <v>4.7272727272727272E-2</v>
      </c>
      <c r="M9" s="5">
        <f t="shared" si="6"/>
        <v>1</v>
      </c>
    </row>
    <row r="10" spans="1:13" ht="30" x14ac:dyDescent="0.25">
      <c r="A10" s="18" t="s">
        <v>363</v>
      </c>
      <c r="B10" s="4">
        <v>135</v>
      </c>
      <c r="C10" s="4">
        <v>98</v>
      </c>
      <c r="D10" s="4">
        <v>29</v>
      </c>
      <c r="E10" s="4">
        <v>15</v>
      </c>
      <c r="F10" s="4">
        <f t="shared" si="1"/>
        <v>277</v>
      </c>
      <c r="H10" s="18" t="s">
        <v>363</v>
      </c>
      <c r="I10" s="5">
        <f>B10/277</f>
        <v>0.48736462093862815</v>
      </c>
      <c r="J10" s="5">
        <f t="shared" ref="J10:M10" si="7">C10/277</f>
        <v>0.35379061371841153</v>
      </c>
      <c r="K10" s="5">
        <f t="shared" si="7"/>
        <v>0.10469314079422383</v>
      </c>
      <c r="L10" s="5">
        <f t="shared" si="7"/>
        <v>5.4151624548736461E-2</v>
      </c>
      <c r="M10" s="5">
        <f t="shared" si="7"/>
        <v>1</v>
      </c>
    </row>
    <row r="11" spans="1:13" x14ac:dyDescent="0.25">
      <c r="A11" s="18" t="s">
        <v>364</v>
      </c>
      <c r="B11" s="4">
        <v>209</v>
      </c>
      <c r="C11" s="4">
        <v>53</v>
      </c>
      <c r="D11" s="4">
        <v>9</v>
      </c>
      <c r="E11" s="4">
        <v>3</v>
      </c>
      <c r="F11" s="4">
        <f t="shared" si="1"/>
        <v>274</v>
      </c>
      <c r="H11" s="18" t="s">
        <v>364</v>
      </c>
      <c r="I11" s="5">
        <f>B11/274</f>
        <v>0.76277372262773724</v>
      </c>
      <c r="J11" s="5">
        <f t="shared" ref="J11:M11" si="8">C11/274</f>
        <v>0.19343065693430658</v>
      </c>
      <c r="K11" s="5">
        <f t="shared" si="8"/>
        <v>3.2846715328467155E-2</v>
      </c>
      <c r="L11" s="5">
        <f t="shared" si="8"/>
        <v>1.0948905109489052E-2</v>
      </c>
      <c r="M11" s="5">
        <f t="shared" si="8"/>
        <v>1</v>
      </c>
    </row>
    <row r="12" spans="1:13" x14ac:dyDescent="0.25">
      <c r="A12" s="18" t="s">
        <v>365</v>
      </c>
      <c r="B12" s="4">
        <v>174</v>
      </c>
      <c r="C12" s="4">
        <v>84</v>
      </c>
      <c r="D12" s="4">
        <v>13</v>
      </c>
      <c r="E12" s="4">
        <v>5</v>
      </c>
      <c r="F12" s="4">
        <f t="shared" si="1"/>
        <v>276</v>
      </c>
      <c r="H12" s="18" t="s">
        <v>365</v>
      </c>
      <c r="I12" s="5">
        <f>B12/276</f>
        <v>0.63043478260869568</v>
      </c>
      <c r="J12" s="5">
        <f t="shared" ref="J12:M12" si="9">C12/276</f>
        <v>0.30434782608695654</v>
      </c>
      <c r="K12" s="5">
        <f t="shared" si="9"/>
        <v>4.710144927536232E-2</v>
      </c>
      <c r="L12" s="5">
        <f t="shared" si="9"/>
        <v>1.8115942028985508E-2</v>
      </c>
      <c r="M12" s="5">
        <f t="shared" si="9"/>
        <v>1</v>
      </c>
    </row>
  </sheetData>
  <pageMargins left="0.7" right="0.7" top="0.75" bottom="0.75" header="0.3" footer="0.3"/>
  <ignoredErrors>
    <ignoredError sqref="I9:M9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H28" sqref="H28"/>
    </sheetView>
  </sheetViews>
  <sheetFormatPr defaultRowHeight="15" x14ac:dyDescent="0.25"/>
  <cols>
    <col min="1" max="1" width="52.42578125" customWidth="1"/>
    <col min="2" max="2" width="11.85546875" customWidth="1"/>
    <col min="3" max="3" width="10.85546875" customWidth="1"/>
    <col min="4" max="4" width="10.42578125" customWidth="1"/>
    <col min="5" max="5" width="10.85546875" customWidth="1"/>
    <col min="8" max="8" width="64.5703125" customWidth="1"/>
    <col min="9" max="9" width="11.5703125" bestFit="1" customWidth="1"/>
    <col min="10" max="10" width="10.85546875" customWidth="1"/>
    <col min="11" max="11" width="10.7109375" customWidth="1"/>
  </cols>
  <sheetData>
    <row r="1" spans="1:13" x14ac:dyDescent="0.25">
      <c r="A1" s="3" t="s">
        <v>366</v>
      </c>
    </row>
    <row r="3" spans="1:13" s="20" customFormat="1" ht="30" x14ac:dyDescent="0.25">
      <c r="A3" s="18"/>
      <c r="B3" s="18" t="s">
        <v>97</v>
      </c>
      <c r="C3" s="18" t="s">
        <v>374</v>
      </c>
      <c r="D3" s="18" t="s">
        <v>209</v>
      </c>
      <c r="E3" s="18" t="s">
        <v>100</v>
      </c>
      <c r="F3" s="18" t="s">
        <v>53</v>
      </c>
      <c r="H3" s="18"/>
      <c r="I3" s="18" t="s">
        <v>97</v>
      </c>
      <c r="J3" s="18" t="s">
        <v>374</v>
      </c>
      <c r="K3" s="18" t="s">
        <v>209</v>
      </c>
      <c r="L3" s="18" t="s">
        <v>100</v>
      </c>
      <c r="M3" s="18" t="s">
        <v>53</v>
      </c>
    </row>
    <row r="4" spans="1:13" s="20" customFormat="1" ht="30" x14ac:dyDescent="0.25">
      <c r="A4" s="18" t="s">
        <v>367</v>
      </c>
      <c r="B4" s="18">
        <v>53</v>
      </c>
      <c r="C4" s="18">
        <v>140</v>
      </c>
      <c r="D4" s="18">
        <v>53</v>
      </c>
      <c r="E4" s="18">
        <v>23</v>
      </c>
      <c r="F4" s="18">
        <f>SUM(B4:E4)</f>
        <v>269</v>
      </c>
      <c r="H4" s="18" t="s">
        <v>367</v>
      </c>
      <c r="I4" s="29">
        <f>B4/269</f>
        <v>0.19702602230483271</v>
      </c>
      <c r="J4" s="29">
        <f t="shared" ref="J4:M6" si="0">C4/269</f>
        <v>0.5204460966542751</v>
      </c>
      <c r="K4" s="29">
        <f t="shared" si="0"/>
        <v>0.19702602230483271</v>
      </c>
      <c r="L4" s="29">
        <f t="shared" si="0"/>
        <v>8.5501858736059477E-2</v>
      </c>
      <c r="M4" s="29">
        <f t="shared" si="0"/>
        <v>1</v>
      </c>
    </row>
    <row r="5" spans="1:13" s="20" customFormat="1" ht="30" x14ac:dyDescent="0.25">
      <c r="A5" s="18" t="s">
        <v>368</v>
      </c>
      <c r="B5" s="18">
        <v>192</v>
      </c>
      <c r="C5" s="18">
        <v>71</v>
      </c>
      <c r="D5" s="18">
        <v>4</v>
      </c>
      <c r="E5" s="18">
        <v>2</v>
      </c>
      <c r="F5" s="18">
        <f t="shared" ref="F5:F10" si="1">SUM(B5:E5)</f>
        <v>269</v>
      </c>
      <c r="H5" s="18" t="s">
        <v>368</v>
      </c>
      <c r="I5" s="29">
        <f>B5/269</f>
        <v>0.71375464684014867</v>
      </c>
      <c r="J5" s="29">
        <f t="shared" si="0"/>
        <v>0.26394052044609667</v>
      </c>
      <c r="K5" s="29">
        <f t="shared" si="0"/>
        <v>1.4869888475836431E-2</v>
      </c>
      <c r="L5" s="29">
        <f t="shared" si="0"/>
        <v>7.4349442379182153E-3</v>
      </c>
      <c r="M5" s="29">
        <f t="shared" si="0"/>
        <v>1</v>
      </c>
    </row>
    <row r="6" spans="1:13" s="20" customFormat="1" ht="30" x14ac:dyDescent="0.25">
      <c r="A6" s="18" t="s">
        <v>369</v>
      </c>
      <c r="B6" s="18">
        <v>169</v>
      </c>
      <c r="C6" s="18">
        <v>87</v>
      </c>
      <c r="D6" s="18">
        <v>12</v>
      </c>
      <c r="E6" s="18">
        <v>1</v>
      </c>
      <c r="F6" s="18">
        <f t="shared" si="1"/>
        <v>269</v>
      </c>
      <c r="H6" s="18" t="s">
        <v>369</v>
      </c>
      <c r="I6" s="29">
        <f>B6/269</f>
        <v>0.62825278810408924</v>
      </c>
      <c r="J6" s="29">
        <f t="shared" si="0"/>
        <v>0.32342007434944237</v>
      </c>
      <c r="K6" s="29">
        <f t="shared" si="0"/>
        <v>4.4609665427509292E-2</v>
      </c>
      <c r="L6" s="29">
        <f t="shared" si="0"/>
        <v>3.7174721189591076E-3</v>
      </c>
      <c r="M6" s="29">
        <f t="shared" si="0"/>
        <v>1</v>
      </c>
    </row>
    <row r="7" spans="1:13" s="20" customFormat="1" ht="30" x14ac:dyDescent="0.25">
      <c r="A7" s="18" t="s">
        <v>370</v>
      </c>
      <c r="B7" s="18">
        <v>50</v>
      </c>
      <c r="C7" s="18">
        <v>100</v>
      </c>
      <c r="D7" s="18">
        <v>89</v>
      </c>
      <c r="E7" s="18">
        <v>23</v>
      </c>
      <c r="F7" s="18">
        <f t="shared" si="1"/>
        <v>262</v>
      </c>
      <c r="H7" s="18" t="s">
        <v>370</v>
      </c>
      <c r="I7" s="29">
        <f>B7/262</f>
        <v>0.19083969465648856</v>
      </c>
      <c r="J7" s="29">
        <f t="shared" ref="J7:M7" si="2">C7/262</f>
        <v>0.38167938931297712</v>
      </c>
      <c r="K7" s="29">
        <f t="shared" si="2"/>
        <v>0.33969465648854963</v>
      </c>
      <c r="L7" s="29">
        <f t="shared" si="2"/>
        <v>8.7786259541984726E-2</v>
      </c>
      <c r="M7" s="29">
        <f t="shared" si="2"/>
        <v>1</v>
      </c>
    </row>
    <row r="8" spans="1:13" s="20" customFormat="1" x14ac:dyDescent="0.25">
      <c r="A8" s="18" t="s">
        <v>371</v>
      </c>
      <c r="B8" s="18">
        <v>50</v>
      </c>
      <c r="C8" s="18">
        <v>96</v>
      </c>
      <c r="D8" s="18">
        <v>90</v>
      </c>
      <c r="E8" s="18">
        <v>29</v>
      </c>
      <c r="F8" s="18">
        <f t="shared" si="1"/>
        <v>265</v>
      </c>
      <c r="H8" s="18" t="s">
        <v>371</v>
      </c>
      <c r="I8" s="29">
        <f>B8/265</f>
        <v>0.18867924528301888</v>
      </c>
      <c r="J8" s="29">
        <f t="shared" ref="J8:M10" si="3">C8/265</f>
        <v>0.3622641509433962</v>
      </c>
      <c r="K8" s="29">
        <f t="shared" si="3"/>
        <v>0.33962264150943394</v>
      </c>
      <c r="L8" s="29">
        <f t="shared" si="3"/>
        <v>0.10943396226415095</v>
      </c>
      <c r="M8" s="29">
        <f t="shared" si="3"/>
        <v>1</v>
      </c>
    </row>
    <row r="9" spans="1:13" s="20" customFormat="1" ht="30" x14ac:dyDescent="0.25">
      <c r="A9" s="18" t="s">
        <v>372</v>
      </c>
      <c r="B9" s="18">
        <v>78</v>
      </c>
      <c r="C9" s="18">
        <v>114</v>
      </c>
      <c r="D9" s="18">
        <v>59</v>
      </c>
      <c r="E9" s="18">
        <v>14</v>
      </c>
      <c r="F9" s="18">
        <f t="shared" si="1"/>
        <v>265</v>
      </c>
      <c r="H9" s="18" t="s">
        <v>372</v>
      </c>
      <c r="I9" s="29">
        <f>B9/265</f>
        <v>0.29433962264150942</v>
      </c>
      <c r="J9" s="29">
        <f t="shared" si="3"/>
        <v>0.43018867924528303</v>
      </c>
      <c r="K9" s="29">
        <f t="shared" si="3"/>
        <v>0.22264150943396227</v>
      </c>
      <c r="L9" s="29">
        <f t="shared" si="3"/>
        <v>5.2830188679245285E-2</v>
      </c>
      <c r="M9" s="29">
        <f t="shared" si="3"/>
        <v>1</v>
      </c>
    </row>
    <row r="10" spans="1:13" s="20" customFormat="1" ht="30" x14ac:dyDescent="0.25">
      <c r="A10" s="18" t="s">
        <v>373</v>
      </c>
      <c r="B10" s="18">
        <v>66</v>
      </c>
      <c r="C10" s="18">
        <v>96</v>
      </c>
      <c r="D10" s="18">
        <v>66</v>
      </c>
      <c r="E10" s="18">
        <v>37</v>
      </c>
      <c r="F10" s="18">
        <f t="shared" si="1"/>
        <v>265</v>
      </c>
      <c r="H10" s="18" t="s">
        <v>373</v>
      </c>
      <c r="I10" s="29">
        <f>B10/265</f>
        <v>0.24905660377358491</v>
      </c>
      <c r="J10" s="29">
        <f t="shared" si="3"/>
        <v>0.3622641509433962</v>
      </c>
      <c r="K10" s="29">
        <f t="shared" si="3"/>
        <v>0.24905660377358491</v>
      </c>
      <c r="L10" s="29">
        <f t="shared" si="3"/>
        <v>0.13962264150943396</v>
      </c>
      <c r="M10" s="29">
        <f t="shared" si="3"/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/>
  </sheetViews>
  <sheetFormatPr defaultRowHeight="15" x14ac:dyDescent="0.25"/>
  <cols>
    <col min="1" max="1" width="75.5703125" customWidth="1"/>
    <col min="3" max="3" width="12.5703125" customWidth="1"/>
    <col min="4" max="4" width="10.7109375" customWidth="1"/>
    <col min="8" max="8" width="59.5703125" customWidth="1"/>
    <col min="10" max="11" width="12" customWidth="1"/>
  </cols>
  <sheetData>
    <row r="1" spans="1:13" ht="30" x14ac:dyDescent="0.25">
      <c r="A1" s="31" t="s">
        <v>375</v>
      </c>
    </row>
    <row r="3" spans="1:13" ht="45" x14ac:dyDescent="0.25">
      <c r="A3" s="4"/>
      <c r="B3" s="18" t="s">
        <v>97</v>
      </c>
      <c r="C3" s="18" t="s">
        <v>98</v>
      </c>
      <c r="D3" s="18" t="s">
        <v>209</v>
      </c>
      <c r="E3" s="18" t="s">
        <v>100</v>
      </c>
      <c r="F3" s="18" t="s">
        <v>53</v>
      </c>
      <c r="H3" s="4"/>
      <c r="I3" s="18" t="s">
        <v>97</v>
      </c>
      <c r="J3" s="18" t="s">
        <v>98</v>
      </c>
      <c r="K3" s="18" t="s">
        <v>209</v>
      </c>
      <c r="L3" s="18" t="s">
        <v>100</v>
      </c>
      <c r="M3" s="18" t="s">
        <v>53</v>
      </c>
    </row>
    <row r="4" spans="1:13" ht="30" x14ac:dyDescent="0.25">
      <c r="A4" s="18" t="s">
        <v>376</v>
      </c>
      <c r="B4" s="4">
        <v>62</v>
      </c>
      <c r="C4" s="4">
        <v>130</v>
      </c>
      <c r="D4" s="4">
        <v>41</v>
      </c>
      <c r="E4" s="4">
        <v>12</v>
      </c>
      <c r="F4" s="4">
        <f>SUM(B4:E4)</f>
        <v>245</v>
      </c>
      <c r="H4" s="18" t="s">
        <v>376</v>
      </c>
      <c r="I4" s="13">
        <f>B4/245</f>
        <v>0.2530612244897959</v>
      </c>
      <c r="J4" s="13">
        <f t="shared" ref="J4:L4" si="0">C4/245</f>
        <v>0.53061224489795922</v>
      </c>
      <c r="K4" s="13">
        <f t="shared" si="0"/>
        <v>0.16734693877551021</v>
      </c>
      <c r="L4" s="13">
        <f t="shared" si="0"/>
        <v>4.8979591836734691E-2</v>
      </c>
      <c r="M4" s="13">
        <f>F4/245</f>
        <v>1</v>
      </c>
    </row>
    <row r="5" spans="1:13" x14ac:dyDescent="0.25">
      <c r="A5" s="18" t="s">
        <v>377</v>
      </c>
      <c r="B5" s="4">
        <v>56</v>
      </c>
      <c r="C5" s="4">
        <v>142</v>
      </c>
      <c r="D5" s="4">
        <v>32</v>
      </c>
      <c r="E5" s="4">
        <v>8</v>
      </c>
      <c r="F5" s="4">
        <f t="shared" ref="F5:F22" si="1">SUM(B5:E5)</f>
        <v>238</v>
      </c>
      <c r="H5" s="18" t="s">
        <v>377</v>
      </c>
      <c r="I5" s="13">
        <f>B5/238</f>
        <v>0.23529411764705882</v>
      </c>
      <c r="J5" s="13">
        <f t="shared" ref="J5:L5" si="2">C5/238</f>
        <v>0.59663865546218486</v>
      </c>
      <c r="K5" s="13">
        <f t="shared" si="2"/>
        <v>0.13445378151260504</v>
      </c>
      <c r="L5" s="13">
        <f t="shared" si="2"/>
        <v>3.3613445378151259E-2</v>
      </c>
      <c r="M5" s="13">
        <f>F5/238</f>
        <v>1</v>
      </c>
    </row>
    <row r="6" spans="1:13" x14ac:dyDescent="0.25">
      <c r="A6" s="18" t="s">
        <v>378</v>
      </c>
      <c r="B6" s="4">
        <v>9</v>
      </c>
      <c r="C6" s="4">
        <v>23</v>
      </c>
      <c r="D6" s="4">
        <v>103</v>
      </c>
      <c r="E6" s="4">
        <v>100</v>
      </c>
      <c r="F6" s="4">
        <f t="shared" si="1"/>
        <v>235</v>
      </c>
      <c r="H6" s="18" t="s">
        <v>378</v>
      </c>
      <c r="I6" s="13">
        <f>B6/235</f>
        <v>3.8297872340425532E-2</v>
      </c>
      <c r="J6" s="13">
        <f t="shared" ref="J6:L6" si="3">C6/235</f>
        <v>9.7872340425531917E-2</v>
      </c>
      <c r="K6" s="13">
        <f t="shared" si="3"/>
        <v>0.43829787234042555</v>
      </c>
      <c r="L6" s="13">
        <f t="shared" si="3"/>
        <v>0.42553191489361702</v>
      </c>
      <c r="M6" s="13">
        <f>F6/235</f>
        <v>1</v>
      </c>
    </row>
    <row r="7" spans="1:13" x14ac:dyDescent="0.25">
      <c r="A7" s="18" t="s">
        <v>379</v>
      </c>
      <c r="B7" s="4">
        <v>52</v>
      </c>
      <c r="C7" s="4">
        <v>111</v>
      </c>
      <c r="D7" s="4">
        <v>47</v>
      </c>
      <c r="E7" s="4">
        <v>24</v>
      </c>
      <c r="F7" s="4">
        <f t="shared" si="1"/>
        <v>234</v>
      </c>
      <c r="H7" s="18" t="s">
        <v>379</v>
      </c>
      <c r="I7" s="13">
        <f>B7/234</f>
        <v>0.22222222222222221</v>
      </c>
      <c r="J7" s="13">
        <f t="shared" ref="J7:L7" si="4">C7/234</f>
        <v>0.47435897435897434</v>
      </c>
      <c r="K7" s="13">
        <f t="shared" si="4"/>
        <v>0.20085470085470086</v>
      </c>
      <c r="L7" s="13">
        <f t="shared" si="4"/>
        <v>0.10256410256410256</v>
      </c>
      <c r="M7" s="13">
        <f>F7/234</f>
        <v>1</v>
      </c>
    </row>
    <row r="8" spans="1:13" x14ac:dyDescent="0.25">
      <c r="A8" s="18" t="s">
        <v>380</v>
      </c>
      <c r="B8" s="4">
        <v>126</v>
      </c>
      <c r="C8" s="4">
        <v>94</v>
      </c>
      <c r="D8" s="4">
        <v>19</v>
      </c>
      <c r="E8" s="4">
        <v>11</v>
      </c>
      <c r="F8" s="4">
        <f t="shared" si="1"/>
        <v>250</v>
      </c>
      <c r="H8" s="18" t="s">
        <v>380</v>
      </c>
      <c r="I8" s="13">
        <f>B8/250</f>
        <v>0.504</v>
      </c>
      <c r="J8" s="13">
        <f t="shared" ref="J8:L8" si="5">C8/250</f>
        <v>0.376</v>
      </c>
      <c r="K8" s="13">
        <f t="shared" si="5"/>
        <v>7.5999999999999998E-2</v>
      </c>
      <c r="L8" s="13">
        <f t="shared" si="5"/>
        <v>4.3999999999999997E-2</v>
      </c>
      <c r="M8" s="13">
        <f>F8/250</f>
        <v>1</v>
      </c>
    </row>
    <row r="9" spans="1:13" x14ac:dyDescent="0.25">
      <c r="A9" s="18" t="s">
        <v>381</v>
      </c>
      <c r="B9" s="4">
        <v>100</v>
      </c>
      <c r="C9" s="4">
        <v>97</v>
      </c>
      <c r="D9" s="4">
        <v>28</v>
      </c>
      <c r="E9" s="4">
        <v>20</v>
      </c>
      <c r="F9" s="4">
        <f t="shared" si="1"/>
        <v>245</v>
      </c>
      <c r="H9" s="18" t="s">
        <v>381</v>
      </c>
      <c r="I9" s="13">
        <f>B9/245</f>
        <v>0.40816326530612246</v>
      </c>
      <c r="J9" s="13">
        <f t="shared" ref="J9:L9" si="6">C9/245</f>
        <v>0.39591836734693875</v>
      </c>
      <c r="K9" s="13">
        <f t="shared" si="6"/>
        <v>0.11428571428571428</v>
      </c>
      <c r="L9" s="13">
        <f t="shared" si="6"/>
        <v>8.1632653061224483E-2</v>
      </c>
      <c r="M9" s="13">
        <f>F9/245</f>
        <v>1</v>
      </c>
    </row>
    <row r="10" spans="1:13" x14ac:dyDescent="0.25">
      <c r="A10" s="18" t="s">
        <v>382</v>
      </c>
      <c r="B10" s="4">
        <v>31</v>
      </c>
      <c r="C10" s="4">
        <v>107</v>
      </c>
      <c r="D10" s="4">
        <v>72</v>
      </c>
      <c r="E10" s="4">
        <v>33</v>
      </c>
      <c r="F10" s="4">
        <f t="shared" si="1"/>
        <v>243</v>
      </c>
      <c r="H10" s="18" t="s">
        <v>382</v>
      </c>
      <c r="I10" s="13">
        <f>B10/243</f>
        <v>0.12757201646090535</v>
      </c>
      <c r="J10" s="13">
        <f t="shared" ref="J10:L11" si="7">C10/243</f>
        <v>0.44032921810699588</v>
      </c>
      <c r="K10" s="13">
        <f t="shared" si="7"/>
        <v>0.29629629629629628</v>
      </c>
      <c r="L10" s="13">
        <f t="shared" si="7"/>
        <v>0.13580246913580246</v>
      </c>
      <c r="M10" s="13">
        <f>F10/243</f>
        <v>1</v>
      </c>
    </row>
    <row r="11" spans="1:13" x14ac:dyDescent="0.25">
      <c r="A11" s="18" t="s">
        <v>383</v>
      </c>
      <c r="B11" s="4">
        <v>18</v>
      </c>
      <c r="C11" s="4">
        <v>86</v>
      </c>
      <c r="D11" s="4">
        <v>103</v>
      </c>
      <c r="E11" s="4">
        <v>36</v>
      </c>
      <c r="F11" s="4">
        <f t="shared" si="1"/>
        <v>243</v>
      </c>
      <c r="H11" s="18" t="s">
        <v>383</v>
      </c>
      <c r="I11" s="13">
        <f>B11/243</f>
        <v>7.407407407407407E-2</v>
      </c>
      <c r="J11" s="13">
        <f t="shared" si="7"/>
        <v>0.35390946502057613</v>
      </c>
      <c r="K11" s="13">
        <f t="shared" si="7"/>
        <v>0.42386831275720166</v>
      </c>
      <c r="L11" s="13">
        <f t="shared" si="7"/>
        <v>0.14814814814814814</v>
      </c>
      <c r="M11" s="13">
        <f>F11/243</f>
        <v>1</v>
      </c>
    </row>
    <row r="12" spans="1:13" x14ac:dyDescent="0.25">
      <c r="A12" s="18" t="s">
        <v>384</v>
      </c>
      <c r="B12" s="4">
        <v>85</v>
      </c>
      <c r="C12" s="4">
        <v>138</v>
      </c>
      <c r="D12" s="4">
        <v>18</v>
      </c>
      <c r="E12" s="4">
        <v>6</v>
      </c>
      <c r="F12" s="4">
        <f t="shared" si="1"/>
        <v>247</v>
      </c>
      <c r="H12" s="18" t="s">
        <v>384</v>
      </c>
      <c r="I12" s="13">
        <f>B12/247</f>
        <v>0.34412955465587042</v>
      </c>
      <c r="J12" s="13">
        <f t="shared" ref="J12:L12" si="8">C12/247</f>
        <v>0.5587044534412956</v>
      </c>
      <c r="K12" s="13">
        <f t="shared" si="8"/>
        <v>7.28744939271255E-2</v>
      </c>
      <c r="L12" s="13">
        <f t="shared" si="8"/>
        <v>2.4291497975708502E-2</v>
      </c>
      <c r="M12" s="13">
        <f>F12/247</f>
        <v>1</v>
      </c>
    </row>
    <row r="13" spans="1:13" x14ac:dyDescent="0.25">
      <c r="A13" s="18" t="s">
        <v>385</v>
      </c>
      <c r="B13" s="4">
        <v>25</v>
      </c>
      <c r="C13" s="4">
        <v>124</v>
      </c>
      <c r="D13" s="4">
        <v>65</v>
      </c>
      <c r="E13" s="4">
        <v>28</v>
      </c>
      <c r="F13" s="4">
        <f t="shared" si="1"/>
        <v>242</v>
      </c>
      <c r="H13" s="18" t="s">
        <v>385</v>
      </c>
      <c r="I13" s="13">
        <f>B13/242</f>
        <v>0.10330578512396695</v>
      </c>
      <c r="J13" s="13">
        <f t="shared" ref="J13:L13" si="9">C13/242</f>
        <v>0.51239669421487599</v>
      </c>
      <c r="K13" s="13">
        <f t="shared" si="9"/>
        <v>0.26859504132231404</v>
      </c>
      <c r="L13" s="13">
        <f t="shared" si="9"/>
        <v>0.11570247933884298</v>
      </c>
      <c r="M13" s="13">
        <f>F13/242</f>
        <v>1</v>
      </c>
    </row>
    <row r="14" spans="1:13" x14ac:dyDescent="0.25">
      <c r="A14" s="18" t="s">
        <v>386</v>
      </c>
      <c r="B14" s="4">
        <v>56</v>
      </c>
      <c r="C14" s="4">
        <v>124</v>
      </c>
      <c r="D14" s="4">
        <v>48</v>
      </c>
      <c r="E14" s="4">
        <v>15</v>
      </c>
      <c r="F14" s="4">
        <f t="shared" si="1"/>
        <v>243</v>
      </c>
      <c r="H14" s="18" t="s">
        <v>386</v>
      </c>
      <c r="I14" s="13">
        <f>B14/243</f>
        <v>0.23045267489711935</v>
      </c>
      <c r="J14" s="13">
        <f t="shared" ref="J14:L14" si="10">C14/243</f>
        <v>0.51028806584362141</v>
      </c>
      <c r="K14" s="13">
        <f t="shared" si="10"/>
        <v>0.19753086419753085</v>
      </c>
      <c r="L14" s="13">
        <f t="shared" si="10"/>
        <v>6.1728395061728392E-2</v>
      </c>
      <c r="M14" s="13">
        <f>F14/243</f>
        <v>1</v>
      </c>
    </row>
    <row r="15" spans="1:13" x14ac:dyDescent="0.25">
      <c r="A15" s="18" t="s">
        <v>387</v>
      </c>
      <c r="B15" s="4">
        <v>56</v>
      </c>
      <c r="C15" s="4">
        <v>112</v>
      </c>
      <c r="D15" s="4">
        <v>50</v>
      </c>
      <c r="E15" s="4">
        <v>27</v>
      </c>
      <c r="F15" s="4">
        <f t="shared" si="1"/>
        <v>245</v>
      </c>
      <c r="H15" s="18" t="s">
        <v>387</v>
      </c>
      <c r="I15" s="13">
        <f>B15/245</f>
        <v>0.22857142857142856</v>
      </c>
      <c r="J15" s="13">
        <f t="shared" ref="J15:L15" si="11">C15/245</f>
        <v>0.45714285714285713</v>
      </c>
      <c r="K15" s="13">
        <f t="shared" si="11"/>
        <v>0.20408163265306123</v>
      </c>
      <c r="L15" s="13">
        <f t="shared" si="11"/>
        <v>0.11020408163265306</v>
      </c>
      <c r="M15" s="13">
        <f>F15/245</f>
        <v>1</v>
      </c>
    </row>
    <row r="16" spans="1:13" ht="30" x14ac:dyDescent="0.25">
      <c r="A16" s="18" t="s">
        <v>388</v>
      </c>
      <c r="B16" s="4">
        <v>13</v>
      </c>
      <c r="C16" s="4">
        <v>75</v>
      </c>
      <c r="D16" s="4">
        <v>120</v>
      </c>
      <c r="E16" s="4">
        <v>38</v>
      </c>
      <c r="F16" s="4">
        <f t="shared" si="1"/>
        <v>246</v>
      </c>
      <c r="H16" s="18" t="s">
        <v>388</v>
      </c>
      <c r="I16" s="13">
        <f>B16/246</f>
        <v>5.2845528455284556E-2</v>
      </c>
      <c r="J16" s="13">
        <f t="shared" ref="J16:L16" si="12">C16/246</f>
        <v>0.3048780487804878</v>
      </c>
      <c r="K16" s="13">
        <f t="shared" si="12"/>
        <v>0.48780487804878048</v>
      </c>
      <c r="L16" s="13">
        <f t="shared" si="12"/>
        <v>0.15447154471544716</v>
      </c>
      <c r="M16" s="13">
        <f>F16/246</f>
        <v>1</v>
      </c>
    </row>
    <row r="17" spans="1:13" x14ac:dyDescent="0.25">
      <c r="A17" s="18" t="s">
        <v>389</v>
      </c>
      <c r="B17" s="4">
        <v>57</v>
      </c>
      <c r="C17" s="4">
        <v>118</v>
      </c>
      <c r="D17" s="4">
        <v>51</v>
      </c>
      <c r="E17" s="4">
        <v>23</v>
      </c>
      <c r="F17" s="4">
        <f t="shared" si="1"/>
        <v>249</v>
      </c>
      <c r="H17" s="18" t="s">
        <v>389</v>
      </c>
      <c r="I17" s="13">
        <f>B17/249</f>
        <v>0.2289156626506024</v>
      </c>
      <c r="J17" s="13">
        <f t="shared" ref="J17:L17" si="13">C17/249</f>
        <v>0.47389558232931728</v>
      </c>
      <c r="K17" s="13">
        <f t="shared" si="13"/>
        <v>0.20481927710843373</v>
      </c>
      <c r="L17" s="13">
        <f t="shared" si="13"/>
        <v>9.2369477911646583E-2</v>
      </c>
      <c r="M17" s="13">
        <f>F17/249</f>
        <v>1</v>
      </c>
    </row>
    <row r="18" spans="1:13" ht="30" x14ac:dyDescent="0.25">
      <c r="A18" s="18" t="s">
        <v>390</v>
      </c>
      <c r="B18" s="4">
        <v>25</v>
      </c>
      <c r="C18" s="4">
        <v>97</v>
      </c>
      <c r="D18" s="4">
        <v>103</v>
      </c>
      <c r="E18" s="4">
        <v>12</v>
      </c>
      <c r="F18" s="4">
        <f t="shared" si="1"/>
        <v>237</v>
      </c>
      <c r="H18" s="18" t="s">
        <v>390</v>
      </c>
      <c r="I18" s="13">
        <f>B18/243</f>
        <v>0.102880658436214</v>
      </c>
      <c r="J18" s="13">
        <f t="shared" ref="J18:L18" si="14">C18/243</f>
        <v>0.3991769547325103</v>
      </c>
      <c r="K18" s="13">
        <f t="shared" si="14"/>
        <v>0.42386831275720166</v>
      </c>
      <c r="L18" s="13">
        <f t="shared" si="14"/>
        <v>4.9382716049382713E-2</v>
      </c>
      <c r="M18" s="13">
        <f>F18/243</f>
        <v>0.97530864197530864</v>
      </c>
    </row>
    <row r="19" spans="1:13" ht="30" x14ac:dyDescent="0.25">
      <c r="A19" s="18" t="s">
        <v>391</v>
      </c>
      <c r="B19" s="4">
        <v>12</v>
      </c>
      <c r="C19" s="4">
        <v>100</v>
      </c>
      <c r="D19" s="4">
        <v>98</v>
      </c>
      <c r="E19" s="4">
        <v>26</v>
      </c>
      <c r="F19" s="4">
        <f t="shared" si="1"/>
        <v>236</v>
      </c>
      <c r="H19" s="18" t="s">
        <v>391</v>
      </c>
      <c r="I19" s="13">
        <f>B19/236</f>
        <v>5.0847457627118647E-2</v>
      </c>
      <c r="J19" s="13">
        <f t="shared" ref="J19:L20" si="15">C19/236</f>
        <v>0.42372881355932202</v>
      </c>
      <c r="K19" s="13">
        <f t="shared" si="15"/>
        <v>0.4152542372881356</v>
      </c>
      <c r="L19" s="13">
        <f t="shared" si="15"/>
        <v>0.11016949152542373</v>
      </c>
      <c r="M19" s="13">
        <f>F19/236</f>
        <v>1</v>
      </c>
    </row>
    <row r="20" spans="1:13" x14ac:dyDescent="0.25">
      <c r="A20" s="18" t="s">
        <v>392</v>
      </c>
      <c r="B20" s="4">
        <v>85</v>
      </c>
      <c r="C20" s="4">
        <v>117</v>
      </c>
      <c r="D20" s="4">
        <v>25</v>
      </c>
      <c r="E20" s="4">
        <v>9</v>
      </c>
      <c r="F20" s="4">
        <f t="shared" si="1"/>
        <v>236</v>
      </c>
      <c r="H20" s="18" t="s">
        <v>392</v>
      </c>
      <c r="I20" s="13">
        <f>B20/236</f>
        <v>0.36016949152542371</v>
      </c>
      <c r="J20" s="13">
        <f t="shared" si="15"/>
        <v>0.49576271186440679</v>
      </c>
      <c r="K20" s="13">
        <f t="shared" si="15"/>
        <v>0.1059322033898305</v>
      </c>
      <c r="L20" s="13">
        <f t="shared" si="15"/>
        <v>3.8135593220338986E-2</v>
      </c>
      <c r="M20" s="13">
        <f>F20/236</f>
        <v>1</v>
      </c>
    </row>
    <row r="21" spans="1:13" x14ac:dyDescent="0.25">
      <c r="A21" s="18" t="s">
        <v>393</v>
      </c>
      <c r="B21" s="4">
        <v>90</v>
      </c>
      <c r="C21" s="4">
        <v>108</v>
      </c>
      <c r="D21" s="4">
        <v>30</v>
      </c>
      <c r="E21" s="4">
        <v>13</v>
      </c>
      <c r="F21" s="4">
        <f t="shared" si="1"/>
        <v>241</v>
      </c>
      <c r="H21" s="18" t="s">
        <v>393</v>
      </c>
      <c r="I21" s="13">
        <f>B21/241</f>
        <v>0.37344398340248963</v>
      </c>
      <c r="J21" s="13">
        <f t="shared" ref="J21:L21" si="16">C21/241</f>
        <v>0.44813278008298757</v>
      </c>
      <c r="K21" s="13">
        <f t="shared" si="16"/>
        <v>0.12448132780082988</v>
      </c>
      <c r="L21" s="13">
        <f t="shared" si="16"/>
        <v>5.3941908713692949E-2</v>
      </c>
      <c r="M21" s="13">
        <f>F21/241</f>
        <v>1</v>
      </c>
    </row>
    <row r="22" spans="1:13" x14ac:dyDescent="0.25">
      <c r="A22" s="18" t="s">
        <v>394</v>
      </c>
      <c r="B22" s="4">
        <v>86</v>
      </c>
      <c r="C22" s="4">
        <v>118</v>
      </c>
      <c r="D22" s="4">
        <v>23</v>
      </c>
      <c r="E22" s="4">
        <v>7</v>
      </c>
      <c r="F22" s="4">
        <f t="shared" si="1"/>
        <v>234</v>
      </c>
      <c r="H22" s="18" t="s">
        <v>394</v>
      </c>
      <c r="I22" s="13">
        <f>B22/234</f>
        <v>0.36752136752136755</v>
      </c>
      <c r="J22" s="13">
        <f t="shared" ref="J22:L22" si="17">C22/234</f>
        <v>0.50427350427350426</v>
      </c>
      <c r="K22" s="13">
        <f t="shared" si="17"/>
        <v>9.8290598290598288E-2</v>
      </c>
      <c r="L22" s="13">
        <f t="shared" si="17"/>
        <v>2.9914529914529916E-2</v>
      </c>
      <c r="M22" s="13">
        <f>F22/234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K3" sqref="J3:K8"/>
    </sheetView>
  </sheetViews>
  <sheetFormatPr defaultRowHeight="15" x14ac:dyDescent="0.25"/>
  <cols>
    <col min="1" max="1" width="54.5703125" customWidth="1"/>
    <col min="8" max="8" width="48" customWidth="1"/>
  </cols>
  <sheetData>
    <row r="1" spans="1:13" x14ac:dyDescent="0.25">
      <c r="A1" s="32" t="s">
        <v>395</v>
      </c>
    </row>
    <row r="3" spans="1:13" ht="30" x14ac:dyDescent="0.25">
      <c r="A3" s="4"/>
      <c r="B3" s="18" t="s">
        <v>412</v>
      </c>
      <c r="C3" s="18" t="s">
        <v>413</v>
      </c>
      <c r="D3" s="18" t="s">
        <v>414</v>
      </c>
      <c r="E3" s="18" t="s">
        <v>415</v>
      </c>
      <c r="F3" s="18" t="s">
        <v>53</v>
      </c>
      <c r="H3" s="4"/>
      <c r="I3" s="18" t="s">
        <v>412</v>
      </c>
      <c r="J3" s="18" t="s">
        <v>413</v>
      </c>
      <c r="K3" s="18" t="s">
        <v>414</v>
      </c>
      <c r="L3" s="18" t="s">
        <v>415</v>
      </c>
      <c r="M3" s="18" t="s">
        <v>53</v>
      </c>
    </row>
    <row r="4" spans="1:13" x14ac:dyDescent="0.25">
      <c r="A4" s="18" t="s">
        <v>396</v>
      </c>
      <c r="B4" s="4">
        <v>50</v>
      </c>
      <c r="C4" s="4">
        <v>126</v>
      </c>
      <c r="D4" s="4">
        <v>46</v>
      </c>
      <c r="E4" s="4">
        <v>9</v>
      </c>
      <c r="F4" s="4">
        <f>SUM(B4:E4)</f>
        <v>231</v>
      </c>
      <c r="H4" s="18" t="s">
        <v>396</v>
      </c>
      <c r="I4" s="5">
        <f>B4/231</f>
        <v>0.21645021645021645</v>
      </c>
      <c r="J4" s="5">
        <f t="shared" ref="J4:M4" si="0">C4/231</f>
        <v>0.54545454545454541</v>
      </c>
      <c r="K4" s="5">
        <f t="shared" si="0"/>
        <v>0.19913419913419914</v>
      </c>
      <c r="L4" s="5">
        <f t="shared" si="0"/>
        <v>3.896103896103896E-2</v>
      </c>
      <c r="M4" s="5">
        <f t="shared" si="0"/>
        <v>1</v>
      </c>
    </row>
    <row r="5" spans="1:13" ht="30" x14ac:dyDescent="0.25">
      <c r="A5" s="18" t="s">
        <v>397</v>
      </c>
      <c r="B5" s="4">
        <v>49</v>
      </c>
      <c r="C5" s="4">
        <v>99</v>
      </c>
      <c r="D5" s="4">
        <v>62</v>
      </c>
      <c r="E5" s="4">
        <v>19</v>
      </c>
      <c r="F5" s="4">
        <f t="shared" ref="F5:F20" si="1">SUM(B5:E5)</f>
        <v>229</v>
      </c>
      <c r="H5" s="18" t="s">
        <v>397</v>
      </c>
      <c r="I5" s="5">
        <f>B5/229</f>
        <v>0.21397379912663755</v>
      </c>
      <c r="J5" s="5">
        <f t="shared" ref="J5:M5" si="2">C5/229</f>
        <v>0.43231441048034935</v>
      </c>
      <c r="K5" s="5">
        <f t="shared" si="2"/>
        <v>0.27074235807860264</v>
      </c>
      <c r="L5" s="5">
        <f t="shared" si="2"/>
        <v>8.296943231441048E-2</v>
      </c>
      <c r="M5" s="5">
        <f t="shared" si="2"/>
        <v>1</v>
      </c>
    </row>
    <row r="6" spans="1:13" ht="30" x14ac:dyDescent="0.25">
      <c r="A6" s="18" t="s">
        <v>398</v>
      </c>
      <c r="B6" s="4">
        <v>44</v>
      </c>
      <c r="C6" s="4">
        <v>118</v>
      </c>
      <c r="D6" s="4">
        <v>61</v>
      </c>
      <c r="E6" s="4">
        <v>10</v>
      </c>
      <c r="F6" s="4">
        <f t="shared" si="1"/>
        <v>233</v>
      </c>
      <c r="H6" s="18" t="s">
        <v>398</v>
      </c>
      <c r="I6" s="5">
        <f>B6/233</f>
        <v>0.18884120171673821</v>
      </c>
      <c r="J6" s="5">
        <f t="shared" ref="J6:M6" si="3">C6/233</f>
        <v>0.50643776824034337</v>
      </c>
      <c r="K6" s="5">
        <f t="shared" si="3"/>
        <v>0.26180257510729615</v>
      </c>
      <c r="L6" s="5">
        <f t="shared" si="3"/>
        <v>4.2918454935622317E-2</v>
      </c>
      <c r="M6" s="5">
        <f t="shared" si="3"/>
        <v>1</v>
      </c>
    </row>
    <row r="7" spans="1:13" ht="30" x14ac:dyDescent="0.25">
      <c r="A7" s="18" t="s">
        <v>399</v>
      </c>
      <c r="B7" s="4">
        <v>26</v>
      </c>
      <c r="C7" s="4">
        <v>73</v>
      </c>
      <c r="D7" s="4">
        <v>95</v>
      </c>
      <c r="E7" s="4">
        <v>31</v>
      </c>
      <c r="F7" s="4">
        <f t="shared" si="1"/>
        <v>225</v>
      </c>
      <c r="H7" s="18" t="s">
        <v>399</v>
      </c>
      <c r="I7" s="5">
        <f>B7/225</f>
        <v>0.11555555555555555</v>
      </c>
      <c r="J7" s="5">
        <f t="shared" ref="J7:M7" si="4">C7/225</f>
        <v>0.32444444444444442</v>
      </c>
      <c r="K7" s="5">
        <f t="shared" si="4"/>
        <v>0.42222222222222222</v>
      </c>
      <c r="L7" s="5">
        <f t="shared" si="4"/>
        <v>0.13777777777777778</v>
      </c>
      <c r="M7" s="5">
        <f t="shared" si="4"/>
        <v>1</v>
      </c>
    </row>
    <row r="8" spans="1:13" x14ac:dyDescent="0.25">
      <c r="A8" s="18" t="s">
        <v>400</v>
      </c>
      <c r="B8" s="4">
        <v>40</v>
      </c>
      <c r="C8" s="4">
        <v>110</v>
      </c>
      <c r="D8" s="4">
        <v>62</v>
      </c>
      <c r="E8" s="4">
        <v>19</v>
      </c>
      <c r="F8" s="4">
        <f t="shared" si="1"/>
        <v>231</v>
      </c>
      <c r="H8" s="18" t="s">
        <v>400</v>
      </c>
      <c r="I8" s="5">
        <f>B8/231</f>
        <v>0.17316017316017315</v>
      </c>
      <c r="J8" s="5">
        <f t="shared" ref="J8:M8" si="5">C8/231</f>
        <v>0.47619047619047616</v>
      </c>
      <c r="K8" s="5">
        <f t="shared" si="5"/>
        <v>0.26839826839826841</v>
      </c>
      <c r="L8" s="5">
        <f t="shared" si="5"/>
        <v>8.2251082251082255E-2</v>
      </c>
      <c r="M8" s="5">
        <f t="shared" si="5"/>
        <v>1</v>
      </c>
    </row>
    <row r="9" spans="1:13" x14ac:dyDescent="0.25">
      <c r="A9" s="18" t="s">
        <v>401</v>
      </c>
      <c r="B9" s="4">
        <v>23</v>
      </c>
      <c r="C9" s="4">
        <v>45</v>
      </c>
      <c r="D9" s="4">
        <v>80</v>
      </c>
      <c r="E9" s="4">
        <v>78</v>
      </c>
      <c r="F9" s="4">
        <f t="shared" si="1"/>
        <v>226</v>
      </c>
      <c r="H9" s="18" t="s">
        <v>401</v>
      </c>
      <c r="I9" s="5">
        <f>B9/226</f>
        <v>0.10176991150442478</v>
      </c>
      <c r="J9" s="5">
        <f t="shared" ref="J9:M9" si="6">C9/226</f>
        <v>0.19911504424778761</v>
      </c>
      <c r="K9" s="5">
        <f t="shared" si="6"/>
        <v>0.35398230088495575</v>
      </c>
      <c r="L9" s="5">
        <f t="shared" si="6"/>
        <v>0.34513274336283184</v>
      </c>
      <c r="M9" s="5">
        <f t="shared" si="6"/>
        <v>1</v>
      </c>
    </row>
    <row r="10" spans="1:13" ht="30" x14ac:dyDescent="0.25">
      <c r="A10" s="18" t="s">
        <v>402</v>
      </c>
      <c r="B10" s="4">
        <v>38</v>
      </c>
      <c r="C10" s="4">
        <v>94</v>
      </c>
      <c r="D10" s="4">
        <v>85</v>
      </c>
      <c r="E10" s="4">
        <v>12</v>
      </c>
      <c r="F10" s="4">
        <f t="shared" si="1"/>
        <v>229</v>
      </c>
      <c r="H10" s="18" t="s">
        <v>402</v>
      </c>
      <c r="I10" s="5">
        <f>B10/229</f>
        <v>0.16593886462882096</v>
      </c>
      <c r="J10" s="5">
        <f t="shared" ref="J10:M10" si="7">C10/229</f>
        <v>0.41048034934497818</v>
      </c>
      <c r="K10" s="5">
        <f t="shared" si="7"/>
        <v>0.37117903930131002</v>
      </c>
      <c r="L10" s="5">
        <f t="shared" si="7"/>
        <v>5.2401746724890827E-2</v>
      </c>
      <c r="M10" s="5">
        <f t="shared" si="7"/>
        <v>1</v>
      </c>
    </row>
    <row r="11" spans="1:13" ht="30" x14ac:dyDescent="0.25">
      <c r="A11" s="18" t="s">
        <v>403</v>
      </c>
      <c r="B11" s="4">
        <v>11</v>
      </c>
      <c r="C11" s="4">
        <v>32</v>
      </c>
      <c r="D11" s="4">
        <v>84</v>
      </c>
      <c r="E11" s="4">
        <v>103</v>
      </c>
      <c r="F11" s="4">
        <f t="shared" si="1"/>
        <v>230</v>
      </c>
      <c r="H11" s="18" t="s">
        <v>403</v>
      </c>
      <c r="I11" s="5">
        <f>B11/230</f>
        <v>4.7826086956521741E-2</v>
      </c>
      <c r="J11" s="5">
        <f t="shared" ref="J11:M12" si="8">C11/230</f>
        <v>0.1391304347826087</v>
      </c>
      <c r="K11" s="5">
        <f t="shared" si="8"/>
        <v>0.36521739130434783</v>
      </c>
      <c r="L11" s="5">
        <f t="shared" si="8"/>
        <v>0.44782608695652176</v>
      </c>
      <c r="M11" s="5">
        <f t="shared" si="8"/>
        <v>1</v>
      </c>
    </row>
    <row r="12" spans="1:13" ht="30" x14ac:dyDescent="0.25">
      <c r="A12" s="18" t="s">
        <v>404</v>
      </c>
      <c r="B12" s="4">
        <v>31</v>
      </c>
      <c r="C12" s="4">
        <v>83</v>
      </c>
      <c r="D12" s="4">
        <v>84</v>
      </c>
      <c r="E12" s="4">
        <v>32</v>
      </c>
      <c r="F12" s="4">
        <f t="shared" si="1"/>
        <v>230</v>
      </c>
      <c r="H12" s="18" t="s">
        <v>404</v>
      </c>
      <c r="I12" s="5">
        <f>B12/230</f>
        <v>0.13478260869565217</v>
      </c>
      <c r="J12" s="5">
        <f t="shared" si="8"/>
        <v>0.36086956521739133</v>
      </c>
      <c r="K12" s="5">
        <f t="shared" si="8"/>
        <v>0.36521739130434783</v>
      </c>
      <c r="L12" s="5">
        <f t="shared" si="8"/>
        <v>0.1391304347826087</v>
      </c>
      <c r="M12" s="5">
        <f t="shared" si="8"/>
        <v>1</v>
      </c>
    </row>
    <row r="13" spans="1:13" ht="30" x14ac:dyDescent="0.25">
      <c r="A13" s="18" t="s">
        <v>416</v>
      </c>
      <c r="B13" s="4">
        <v>41</v>
      </c>
      <c r="C13" s="4">
        <v>83</v>
      </c>
      <c r="D13" s="4">
        <v>80</v>
      </c>
      <c r="E13" s="4">
        <v>25</v>
      </c>
      <c r="F13" s="4">
        <f t="shared" si="1"/>
        <v>229</v>
      </c>
      <c r="H13" s="18" t="s">
        <v>416</v>
      </c>
      <c r="I13" s="5">
        <f>B13/229</f>
        <v>0.17903930131004367</v>
      </c>
      <c r="J13" s="5">
        <f t="shared" ref="J13:M13" si="9">C13/229</f>
        <v>0.36244541484716158</v>
      </c>
      <c r="K13" s="5">
        <f t="shared" si="9"/>
        <v>0.34934497816593885</v>
      </c>
      <c r="L13" s="5">
        <f t="shared" si="9"/>
        <v>0.1091703056768559</v>
      </c>
      <c r="M13" s="5">
        <f t="shared" si="9"/>
        <v>1</v>
      </c>
    </row>
    <row r="14" spans="1:13" ht="30" x14ac:dyDescent="0.25">
      <c r="A14" s="18" t="s">
        <v>405</v>
      </c>
      <c r="B14" s="4">
        <v>41</v>
      </c>
      <c r="C14" s="4">
        <v>93</v>
      </c>
      <c r="D14" s="4">
        <v>66</v>
      </c>
      <c r="E14" s="4">
        <v>27</v>
      </c>
      <c r="F14" s="4">
        <f t="shared" si="1"/>
        <v>227</v>
      </c>
      <c r="H14" s="18" t="s">
        <v>405</v>
      </c>
      <c r="I14" s="5">
        <f>B14/227</f>
        <v>0.18061674008810572</v>
      </c>
      <c r="J14" s="5">
        <f t="shared" ref="J14:M14" si="10">C14/227</f>
        <v>0.40969162995594716</v>
      </c>
      <c r="K14" s="5">
        <f t="shared" si="10"/>
        <v>0.29074889867841408</v>
      </c>
      <c r="L14" s="5">
        <f t="shared" si="10"/>
        <v>0.11894273127753303</v>
      </c>
      <c r="M14" s="5">
        <f t="shared" si="10"/>
        <v>1</v>
      </c>
    </row>
    <row r="15" spans="1:13" ht="30" x14ac:dyDescent="0.25">
      <c r="A15" s="18" t="s">
        <v>406</v>
      </c>
      <c r="B15" s="4">
        <v>63</v>
      </c>
      <c r="C15" s="4">
        <v>102</v>
      </c>
      <c r="D15" s="4">
        <v>48</v>
      </c>
      <c r="E15" s="4">
        <v>12</v>
      </c>
      <c r="F15" s="4">
        <f t="shared" si="1"/>
        <v>225</v>
      </c>
      <c r="H15" s="18" t="s">
        <v>406</v>
      </c>
      <c r="I15" s="5">
        <f>B15/225</f>
        <v>0.28000000000000003</v>
      </c>
      <c r="J15" s="5">
        <f t="shared" ref="J15:M15" si="11">C15/225</f>
        <v>0.45333333333333331</v>
      </c>
      <c r="K15" s="5">
        <f t="shared" si="11"/>
        <v>0.21333333333333335</v>
      </c>
      <c r="L15" s="5">
        <f t="shared" si="11"/>
        <v>5.3333333333333337E-2</v>
      </c>
      <c r="M15" s="5">
        <f t="shared" si="11"/>
        <v>1</v>
      </c>
    </row>
    <row r="16" spans="1:13" x14ac:dyDescent="0.25">
      <c r="A16" s="18" t="s">
        <v>407</v>
      </c>
      <c r="B16" s="4">
        <v>37</v>
      </c>
      <c r="C16" s="4">
        <v>91</v>
      </c>
      <c r="D16" s="4">
        <v>73</v>
      </c>
      <c r="E16" s="4">
        <v>26</v>
      </c>
      <c r="F16" s="4">
        <f t="shared" si="1"/>
        <v>227</v>
      </c>
      <c r="H16" s="18" t="s">
        <v>407</v>
      </c>
      <c r="I16" s="5">
        <f>B16/227</f>
        <v>0.16299559471365638</v>
      </c>
      <c r="J16" s="5">
        <f t="shared" ref="J16:M16" si="12">C16/227</f>
        <v>0.40088105726872247</v>
      </c>
      <c r="K16" s="5">
        <f t="shared" si="12"/>
        <v>0.32158590308370044</v>
      </c>
      <c r="L16" s="5">
        <f t="shared" si="12"/>
        <v>0.11453744493392071</v>
      </c>
      <c r="M16" s="5">
        <f t="shared" si="12"/>
        <v>1</v>
      </c>
    </row>
    <row r="17" spans="1:13" ht="30" x14ac:dyDescent="0.25">
      <c r="A17" s="18" t="s">
        <v>408</v>
      </c>
      <c r="B17" s="4">
        <v>48</v>
      </c>
      <c r="C17" s="4">
        <v>79</v>
      </c>
      <c r="D17" s="4">
        <v>69</v>
      </c>
      <c r="E17" s="4">
        <v>30</v>
      </c>
      <c r="F17" s="4">
        <f t="shared" si="1"/>
        <v>226</v>
      </c>
      <c r="H17" s="18" t="s">
        <v>408</v>
      </c>
      <c r="I17" s="5">
        <f>B17/226</f>
        <v>0.21238938053097345</v>
      </c>
      <c r="J17" s="5">
        <f t="shared" ref="J17:M17" si="13">C17/226</f>
        <v>0.34955752212389379</v>
      </c>
      <c r="K17" s="5">
        <f t="shared" si="13"/>
        <v>0.30530973451327431</v>
      </c>
      <c r="L17" s="5">
        <f t="shared" si="13"/>
        <v>0.13274336283185842</v>
      </c>
      <c r="M17" s="5">
        <f t="shared" si="13"/>
        <v>1</v>
      </c>
    </row>
    <row r="18" spans="1:13" x14ac:dyDescent="0.25">
      <c r="A18" s="18" t="s">
        <v>409</v>
      </c>
      <c r="B18" s="4">
        <v>46</v>
      </c>
      <c r="C18" s="4">
        <v>85</v>
      </c>
      <c r="D18" s="4">
        <v>83</v>
      </c>
      <c r="E18" s="4">
        <v>17</v>
      </c>
      <c r="F18" s="4">
        <f t="shared" si="1"/>
        <v>231</v>
      </c>
      <c r="H18" s="18" t="s">
        <v>409</v>
      </c>
      <c r="I18" s="5">
        <f>B18/231</f>
        <v>0.19913419913419914</v>
      </c>
      <c r="J18" s="5">
        <f t="shared" ref="J18:M18" si="14">C18/231</f>
        <v>0.36796536796536794</v>
      </c>
      <c r="K18" s="5">
        <f t="shared" si="14"/>
        <v>0.3593073593073593</v>
      </c>
      <c r="L18" s="5">
        <f t="shared" si="14"/>
        <v>7.3593073593073599E-2</v>
      </c>
      <c r="M18" s="5">
        <f t="shared" si="14"/>
        <v>1</v>
      </c>
    </row>
    <row r="19" spans="1:13" x14ac:dyDescent="0.25">
      <c r="A19" s="18" t="s">
        <v>410</v>
      </c>
      <c r="B19" s="4">
        <v>46</v>
      </c>
      <c r="C19" s="4">
        <v>88</v>
      </c>
      <c r="D19" s="4">
        <v>80</v>
      </c>
      <c r="E19" s="4">
        <v>16</v>
      </c>
      <c r="F19" s="4">
        <f t="shared" si="1"/>
        <v>230</v>
      </c>
      <c r="H19" s="18" t="s">
        <v>410</v>
      </c>
      <c r="I19" s="5">
        <f>B19/230</f>
        <v>0.2</v>
      </c>
      <c r="J19" s="5">
        <f t="shared" ref="J19:M20" si="15">C19/230</f>
        <v>0.38260869565217392</v>
      </c>
      <c r="K19" s="5">
        <f t="shared" si="15"/>
        <v>0.34782608695652173</v>
      </c>
      <c r="L19" s="5">
        <f t="shared" si="15"/>
        <v>6.9565217391304349E-2</v>
      </c>
      <c r="M19" s="5">
        <f t="shared" si="15"/>
        <v>1</v>
      </c>
    </row>
    <row r="20" spans="1:13" x14ac:dyDescent="0.25">
      <c r="A20" s="18" t="s">
        <v>411</v>
      </c>
      <c r="B20" s="4">
        <v>81</v>
      </c>
      <c r="C20" s="4">
        <v>107</v>
      </c>
      <c r="D20" s="4">
        <v>38</v>
      </c>
      <c r="E20" s="4">
        <v>4</v>
      </c>
      <c r="F20" s="4">
        <f t="shared" si="1"/>
        <v>230</v>
      </c>
      <c r="H20" s="18" t="s">
        <v>411</v>
      </c>
      <c r="I20" s="5">
        <f>B20/230</f>
        <v>0.35217391304347828</v>
      </c>
      <c r="J20" s="5">
        <f t="shared" si="15"/>
        <v>0.4652173913043478</v>
      </c>
      <c r="K20" s="5">
        <f t="shared" si="15"/>
        <v>0.16521739130434782</v>
      </c>
      <c r="L20" s="5">
        <f t="shared" si="15"/>
        <v>1.7391304347826087E-2</v>
      </c>
      <c r="M20" s="5">
        <f t="shared" si="15"/>
        <v>1</v>
      </c>
    </row>
  </sheetData>
  <hyperlinks>
    <hyperlink ref="A1" location="'32'!A1" display="32. Indicate how important you believe each priority listed below is at your college or university.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13" workbookViewId="0">
      <selection activeCell="K3" sqref="J3:K8"/>
    </sheetView>
  </sheetViews>
  <sheetFormatPr defaultRowHeight="15" x14ac:dyDescent="0.25"/>
  <cols>
    <col min="1" max="1" width="57.5703125" customWidth="1"/>
    <col min="2" max="2" width="11.7109375" customWidth="1"/>
    <col min="3" max="3" width="11.42578125" customWidth="1"/>
    <col min="4" max="4" width="10" customWidth="1"/>
    <col min="5" max="5" width="10.42578125" customWidth="1"/>
    <col min="9" max="9" width="55.28515625" customWidth="1"/>
    <col min="10" max="10" width="11.85546875" customWidth="1"/>
    <col min="11" max="11" width="11.140625" customWidth="1"/>
    <col min="13" max="13" width="11" customWidth="1"/>
  </cols>
  <sheetData>
    <row r="1" spans="1:15" x14ac:dyDescent="0.25">
      <c r="A1" s="33" t="s">
        <v>417</v>
      </c>
    </row>
    <row r="3" spans="1:15" ht="45" x14ac:dyDescent="0.25">
      <c r="A3" s="4"/>
      <c r="B3" s="19" t="s">
        <v>178</v>
      </c>
      <c r="C3" s="19" t="s">
        <v>179</v>
      </c>
      <c r="D3" s="19" t="s">
        <v>180</v>
      </c>
      <c r="E3" s="19" t="s">
        <v>181</v>
      </c>
      <c r="F3" s="19" t="s">
        <v>182</v>
      </c>
      <c r="G3" s="4" t="s">
        <v>53</v>
      </c>
      <c r="I3" s="4"/>
      <c r="J3" s="19" t="s">
        <v>178</v>
      </c>
      <c r="K3" s="19" t="s">
        <v>179</v>
      </c>
      <c r="L3" s="19" t="s">
        <v>180</v>
      </c>
      <c r="M3" s="19" t="s">
        <v>181</v>
      </c>
      <c r="N3" s="19" t="s">
        <v>182</v>
      </c>
      <c r="O3" s="4" t="s">
        <v>53</v>
      </c>
    </row>
    <row r="4" spans="1:15" ht="30" x14ac:dyDescent="0.25">
      <c r="A4" s="18" t="s">
        <v>418</v>
      </c>
      <c r="B4" s="4">
        <v>65</v>
      </c>
      <c r="C4" s="4">
        <v>91</v>
      </c>
      <c r="D4" s="4">
        <v>58</v>
      </c>
      <c r="E4" s="4">
        <v>10</v>
      </c>
      <c r="F4" s="4">
        <v>7</v>
      </c>
      <c r="G4" s="4">
        <f>SUM(B4:F4)</f>
        <v>231</v>
      </c>
      <c r="I4" s="18" t="s">
        <v>418</v>
      </c>
      <c r="J4" s="5">
        <f>B4/231</f>
        <v>0.2813852813852814</v>
      </c>
      <c r="K4" s="5">
        <f t="shared" ref="K4:O4" si="0">C4/231</f>
        <v>0.39393939393939392</v>
      </c>
      <c r="L4" s="5">
        <f t="shared" si="0"/>
        <v>0.25108225108225107</v>
      </c>
      <c r="M4" s="5">
        <f t="shared" si="0"/>
        <v>4.3290043290043288E-2</v>
      </c>
      <c r="N4" s="5">
        <f t="shared" si="0"/>
        <v>3.0303030303030304E-2</v>
      </c>
      <c r="O4" s="5">
        <f t="shared" si="0"/>
        <v>1</v>
      </c>
    </row>
    <row r="5" spans="1:15" ht="30" x14ac:dyDescent="0.25">
      <c r="A5" s="18" t="s">
        <v>419</v>
      </c>
      <c r="B5" s="4">
        <v>90</v>
      </c>
      <c r="C5" s="4">
        <v>100</v>
      </c>
      <c r="D5" s="4">
        <v>32</v>
      </c>
      <c r="E5" s="4">
        <v>6</v>
      </c>
      <c r="F5" s="4">
        <v>1</v>
      </c>
      <c r="G5" s="4">
        <f t="shared" ref="G5:G11" si="1">SUM(B5:F5)</f>
        <v>229</v>
      </c>
      <c r="I5" s="18" t="s">
        <v>419</v>
      </c>
      <c r="J5" s="5">
        <f>B5/229</f>
        <v>0.3930131004366812</v>
      </c>
      <c r="K5" s="5">
        <f t="shared" ref="K5:O5" si="2">C5/229</f>
        <v>0.4366812227074236</v>
      </c>
      <c r="L5" s="5">
        <f t="shared" si="2"/>
        <v>0.13973799126637554</v>
      </c>
      <c r="M5" s="5">
        <f t="shared" si="2"/>
        <v>2.6200873362445413E-2</v>
      </c>
      <c r="N5" s="5">
        <f t="shared" si="2"/>
        <v>4.3668122270742356E-3</v>
      </c>
      <c r="O5" s="5">
        <f t="shared" si="2"/>
        <v>1</v>
      </c>
    </row>
    <row r="6" spans="1:15" x14ac:dyDescent="0.25">
      <c r="A6" s="18" t="s">
        <v>420</v>
      </c>
      <c r="B6" s="4">
        <v>30</v>
      </c>
      <c r="C6" s="4">
        <v>44</v>
      </c>
      <c r="D6" s="4">
        <v>60</v>
      </c>
      <c r="E6" s="4">
        <v>32</v>
      </c>
      <c r="F6" s="4">
        <v>58</v>
      </c>
      <c r="G6" s="4">
        <f t="shared" si="1"/>
        <v>224</v>
      </c>
      <c r="I6" s="18" t="s">
        <v>420</v>
      </c>
      <c r="J6" s="5">
        <f>B6/224</f>
        <v>0.13392857142857142</v>
      </c>
      <c r="K6" s="5">
        <f t="shared" ref="K6:O6" si="3">C6/224</f>
        <v>0.19642857142857142</v>
      </c>
      <c r="L6" s="5">
        <f t="shared" si="3"/>
        <v>0.26785714285714285</v>
      </c>
      <c r="M6" s="5">
        <f t="shared" si="3"/>
        <v>0.14285714285714285</v>
      </c>
      <c r="N6" s="5">
        <f t="shared" si="3"/>
        <v>0.25892857142857145</v>
      </c>
      <c r="O6" s="5">
        <f t="shared" si="3"/>
        <v>1</v>
      </c>
    </row>
    <row r="7" spans="1:15" x14ac:dyDescent="0.25">
      <c r="A7" s="18" t="s">
        <v>421</v>
      </c>
      <c r="B7" s="4">
        <v>53</v>
      </c>
      <c r="C7" s="4">
        <v>64</v>
      </c>
      <c r="D7" s="4">
        <v>57</v>
      </c>
      <c r="E7" s="4">
        <v>27</v>
      </c>
      <c r="F7" s="4">
        <v>26</v>
      </c>
      <c r="G7" s="4">
        <f t="shared" si="1"/>
        <v>227</v>
      </c>
      <c r="I7" s="18" t="s">
        <v>421</v>
      </c>
      <c r="J7" s="5">
        <f>B7/227</f>
        <v>0.23348017621145375</v>
      </c>
      <c r="K7" s="5">
        <f t="shared" ref="K7:O7" si="4">C7/227</f>
        <v>0.28193832599118945</v>
      </c>
      <c r="L7" s="5">
        <f t="shared" si="4"/>
        <v>0.25110132158590309</v>
      </c>
      <c r="M7" s="5">
        <f t="shared" si="4"/>
        <v>0.11894273127753303</v>
      </c>
      <c r="N7" s="5">
        <f t="shared" si="4"/>
        <v>0.11453744493392071</v>
      </c>
      <c r="O7" s="5">
        <f t="shared" si="4"/>
        <v>1</v>
      </c>
    </row>
    <row r="8" spans="1:15" x14ac:dyDescent="0.25">
      <c r="A8" s="18" t="s">
        <v>422</v>
      </c>
      <c r="B8" s="4">
        <v>45</v>
      </c>
      <c r="C8" s="4">
        <v>58</v>
      </c>
      <c r="D8" s="4">
        <v>42</v>
      </c>
      <c r="E8" s="4">
        <v>28</v>
      </c>
      <c r="F8" s="4">
        <v>50</v>
      </c>
      <c r="G8" s="4">
        <f t="shared" si="1"/>
        <v>223</v>
      </c>
      <c r="I8" s="18" t="s">
        <v>422</v>
      </c>
      <c r="J8" s="5">
        <f>B8/223</f>
        <v>0.20179372197309417</v>
      </c>
      <c r="K8" s="5">
        <f t="shared" ref="K8:O8" si="5">C8/223</f>
        <v>0.26008968609865468</v>
      </c>
      <c r="L8" s="5">
        <f t="shared" si="5"/>
        <v>0.18834080717488788</v>
      </c>
      <c r="M8" s="5">
        <f t="shared" si="5"/>
        <v>0.12556053811659193</v>
      </c>
      <c r="N8" s="5">
        <f t="shared" si="5"/>
        <v>0.22421524663677131</v>
      </c>
      <c r="O8" s="5">
        <f t="shared" si="5"/>
        <v>1</v>
      </c>
    </row>
    <row r="9" spans="1:15" x14ac:dyDescent="0.25">
      <c r="A9" s="18" t="s">
        <v>423</v>
      </c>
      <c r="B9" s="4">
        <v>53</v>
      </c>
      <c r="C9" s="4">
        <v>51</v>
      </c>
      <c r="D9" s="4">
        <v>65</v>
      </c>
      <c r="E9" s="4">
        <v>32</v>
      </c>
      <c r="F9" s="4">
        <v>25</v>
      </c>
      <c r="G9" s="4">
        <f t="shared" si="1"/>
        <v>226</v>
      </c>
      <c r="I9" s="18" t="s">
        <v>423</v>
      </c>
      <c r="J9" s="5">
        <f>B9/226</f>
        <v>0.23451327433628319</v>
      </c>
      <c r="K9" s="5">
        <f t="shared" ref="K9:O9" si="6">C9/226</f>
        <v>0.22566371681415928</v>
      </c>
      <c r="L9" s="5">
        <f t="shared" si="6"/>
        <v>0.28761061946902655</v>
      </c>
      <c r="M9" s="5">
        <f t="shared" si="6"/>
        <v>0.1415929203539823</v>
      </c>
      <c r="N9" s="5">
        <f t="shared" si="6"/>
        <v>0.11061946902654868</v>
      </c>
      <c r="O9" s="5">
        <f t="shared" si="6"/>
        <v>1</v>
      </c>
    </row>
    <row r="10" spans="1:15" ht="30" x14ac:dyDescent="0.25">
      <c r="A10" s="18" t="s">
        <v>424</v>
      </c>
      <c r="B10" s="4">
        <v>17</v>
      </c>
      <c r="C10" s="4">
        <v>22</v>
      </c>
      <c r="D10" s="4">
        <v>36</v>
      </c>
      <c r="E10" s="4">
        <v>42</v>
      </c>
      <c r="F10" s="4">
        <v>108</v>
      </c>
      <c r="G10" s="4">
        <f t="shared" si="1"/>
        <v>225</v>
      </c>
      <c r="I10" s="18" t="s">
        <v>424</v>
      </c>
      <c r="J10" s="5">
        <f>B10/225</f>
        <v>7.5555555555555556E-2</v>
      </c>
      <c r="K10" s="5">
        <f t="shared" ref="K10:O10" si="7">C10/225</f>
        <v>9.7777777777777783E-2</v>
      </c>
      <c r="L10" s="5">
        <f t="shared" si="7"/>
        <v>0.16</v>
      </c>
      <c r="M10" s="5">
        <f t="shared" si="7"/>
        <v>0.18666666666666668</v>
      </c>
      <c r="N10" s="5">
        <f t="shared" si="7"/>
        <v>0.48</v>
      </c>
      <c r="O10" s="5">
        <f t="shared" si="7"/>
        <v>1</v>
      </c>
    </row>
    <row r="11" spans="1:15" ht="30" x14ac:dyDescent="0.25">
      <c r="A11" s="18" t="s">
        <v>425</v>
      </c>
      <c r="B11" s="4">
        <v>2</v>
      </c>
      <c r="C11" s="4">
        <v>6</v>
      </c>
      <c r="D11" s="4">
        <v>7</v>
      </c>
      <c r="E11" s="4">
        <v>5</v>
      </c>
      <c r="F11" s="4">
        <v>207</v>
      </c>
      <c r="G11" s="4">
        <f t="shared" si="1"/>
        <v>227</v>
      </c>
      <c r="I11" s="18" t="s">
        <v>425</v>
      </c>
      <c r="J11" s="5">
        <f>B11/227</f>
        <v>8.8105726872246704E-3</v>
      </c>
      <c r="K11" s="5">
        <f t="shared" ref="K11:O11" si="8">C11/227</f>
        <v>2.643171806167401E-2</v>
      </c>
      <c r="L11" s="5">
        <f t="shared" si="8"/>
        <v>3.0837004405286344E-2</v>
      </c>
      <c r="M11" s="5">
        <f t="shared" si="8"/>
        <v>2.2026431718061675E-2</v>
      </c>
      <c r="N11" s="5">
        <f t="shared" si="8"/>
        <v>0.91189427312775329</v>
      </c>
      <c r="O11" s="5">
        <f t="shared" si="8"/>
        <v>1</v>
      </c>
    </row>
    <row r="15" spans="1:15" x14ac:dyDescent="0.25">
      <c r="A15" t="s">
        <v>426</v>
      </c>
    </row>
    <row r="16" spans="1:15" x14ac:dyDescent="0.25">
      <c r="A16" s="4"/>
      <c r="B16" s="4" t="s">
        <v>10</v>
      </c>
      <c r="C16" s="4" t="s">
        <v>78</v>
      </c>
    </row>
    <row r="17" spans="1:3" x14ac:dyDescent="0.25">
      <c r="A17" s="4" t="s">
        <v>242</v>
      </c>
      <c r="B17" s="4">
        <v>47</v>
      </c>
      <c r="C17" s="5">
        <f>B17/155</f>
        <v>0.3032258064516129</v>
      </c>
    </row>
    <row r="18" spans="1:3" x14ac:dyDescent="0.25">
      <c r="A18" s="4" t="s">
        <v>243</v>
      </c>
      <c r="B18" s="4">
        <v>81</v>
      </c>
      <c r="C18" s="5">
        <f t="shared" ref="C18:C21" si="9">B18/155</f>
        <v>0.52258064516129032</v>
      </c>
    </row>
    <row r="19" spans="1:3" x14ac:dyDescent="0.25">
      <c r="A19" s="4" t="s">
        <v>244</v>
      </c>
      <c r="B19" s="4">
        <v>21</v>
      </c>
      <c r="C19" s="5">
        <f t="shared" si="9"/>
        <v>0.13548387096774195</v>
      </c>
    </row>
    <row r="20" spans="1:3" x14ac:dyDescent="0.25">
      <c r="A20" s="4" t="s">
        <v>245</v>
      </c>
      <c r="B20" s="4">
        <v>6</v>
      </c>
      <c r="C20" s="5">
        <f t="shared" si="9"/>
        <v>3.870967741935484E-2</v>
      </c>
    </row>
    <row r="21" spans="1:3" x14ac:dyDescent="0.25">
      <c r="A21" s="4" t="s">
        <v>53</v>
      </c>
      <c r="B21" s="4">
        <f>SUM(B17:B20)</f>
        <v>155</v>
      </c>
      <c r="C21" s="5">
        <f t="shared" si="9"/>
        <v>1</v>
      </c>
    </row>
    <row r="24" spans="1:3" x14ac:dyDescent="0.25">
      <c r="A24" t="s">
        <v>427</v>
      </c>
    </row>
    <row r="26" spans="1:3" x14ac:dyDescent="0.25">
      <c r="A26" s="4"/>
      <c r="B26" s="4" t="s">
        <v>10</v>
      </c>
      <c r="C26" s="4" t="s">
        <v>78</v>
      </c>
    </row>
    <row r="27" spans="1:3" x14ac:dyDescent="0.25">
      <c r="A27" s="4" t="s">
        <v>242</v>
      </c>
      <c r="B27" s="4">
        <v>67</v>
      </c>
      <c r="C27" s="5">
        <f>B27/$B$31</f>
        <v>0.35638297872340424</v>
      </c>
    </row>
    <row r="28" spans="1:3" x14ac:dyDescent="0.25">
      <c r="A28" s="4" t="s">
        <v>243</v>
      </c>
      <c r="B28" s="4">
        <v>95</v>
      </c>
      <c r="C28" s="5">
        <f t="shared" ref="C28:C31" si="10">B28/$B$31</f>
        <v>0.50531914893617025</v>
      </c>
    </row>
    <row r="29" spans="1:3" x14ac:dyDescent="0.25">
      <c r="A29" s="4" t="s">
        <v>244</v>
      </c>
      <c r="B29" s="4">
        <v>21</v>
      </c>
      <c r="C29" s="5">
        <f t="shared" si="10"/>
        <v>0.11170212765957446</v>
      </c>
    </row>
    <row r="30" spans="1:3" x14ac:dyDescent="0.25">
      <c r="A30" s="4" t="s">
        <v>245</v>
      </c>
      <c r="B30" s="4">
        <v>5</v>
      </c>
      <c r="C30" s="5">
        <f t="shared" si="10"/>
        <v>2.6595744680851064E-2</v>
      </c>
    </row>
    <row r="31" spans="1:3" x14ac:dyDescent="0.25">
      <c r="A31" s="4" t="s">
        <v>53</v>
      </c>
      <c r="B31" s="4">
        <f>SUM(B27:B30)</f>
        <v>188</v>
      </c>
      <c r="C31" s="5">
        <f t="shared" si="10"/>
        <v>1</v>
      </c>
    </row>
    <row r="34" spans="1:3" x14ac:dyDescent="0.25">
      <c r="A34" t="s">
        <v>428</v>
      </c>
    </row>
    <row r="36" spans="1:3" x14ac:dyDescent="0.25">
      <c r="A36" s="4"/>
      <c r="B36" s="4" t="s">
        <v>10</v>
      </c>
      <c r="C36" s="4" t="s">
        <v>78</v>
      </c>
    </row>
    <row r="37" spans="1:3" x14ac:dyDescent="0.25">
      <c r="A37" s="4" t="s">
        <v>242</v>
      </c>
      <c r="B37" s="4">
        <v>67</v>
      </c>
      <c r="C37" s="5">
        <f>B37/$B$41</f>
        <v>0.41358024691358025</v>
      </c>
    </row>
    <row r="38" spans="1:3" x14ac:dyDescent="0.25">
      <c r="A38" s="4" t="s">
        <v>243</v>
      </c>
      <c r="B38" s="4">
        <v>76</v>
      </c>
      <c r="C38" s="5">
        <f t="shared" ref="C38:C41" si="11">B38/$B$41</f>
        <v>0.46913580246913578</v>
      </c>
    </row>
    <row r="39" spans="1:3" x14ac:dyDescent="0.25">
      <c r="A39" s="4" t="s">
        <v>244</v>
      </c>
      <c r="B39" s="4">
        <v>17</v>
      </c>
      <c r="C39" s="5">
        <f t="shared" si="11"/>
        <v>0.10493827160493827</v>
      </c>
    </row>
    <row r="40" spans="1:3" x14ac:dyDescent="0.25">
      <c r="A40" s="4" t="s">
        <v>245</v>
      </c>
      <c r="B40" s="4">
        <v>2</v>
      </c>
      <c r="C40" s="5">
        <f t="shared" si="11"/>
        <v>1.2345679012345678E-2</v>
      </c>
    </row>
    <row r="41" spans="1:3" x14ac:dyDescent="0.25">
      <c r="A41" s="4" t="s">
        <v>53</v>
      </c>
      <c r="B41" s="4">
        <f>SUM(B37:B40)</f>
        <v>162</v>
      </c>
      <c r="C41" s="5">
        <f t="shared" si="11"/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K28" sqref="K28"/>
    </sheetView>
  </sheetViews>
  <sheetFormatPr defaultRowHeight="15" x14ac:dyDescent="0.25"/>
  <cols>
    <col min="1" max="1" width="38.7109375" customWidth="1"/>
    <col min="2" max="2" width="10.5703125" customWidth="1"/>
    <col min="3" max="3" width="10.42578125" customWidth="1"/>
    <col min="4" max="4" width="11.5703125" customWidth="1"/>
    <col min="5" max="5" width="12.5703125" customWidth="1"/>
    <col min="8" max="8" width="45.85546875" customWidth="1"/>
    <col min="11" max="11" width="12.5703125" customWidth="1"/>
  </cols>
  <sheetData>
    <row r="1" spans="1:13" x14ac:dyDescent="0.25">
      <c r="A1" t="s">
        <v>429</v>
      </c>
    </row>
    <row r="3" spans="1:13" s="20" customFormat="1" ht="45" x14ac:dyDescent="0.25">
      <c r="A3" s="18"/>
      <c r="B3" s="19" t="s">
        <v>445</v>
      </c>
      <c r="C3" s="19" t="s">
        <v>446</v>
      </c>
      <c r="D3" s="19" t="s">
        <v>447</v>
      </c>
      <c r="E3" s="19" t="s">
        <v>448</v>
      </c>
      <c r="F3" s="18" t="s">
        <v>53</v>
      </c>
      <c r="H3" s="18"/>
      <c r="I3" s="19" t="s">
        <v>445</v>
      </c>
      <c r="J3" s="19" t="s">
        <v>446</v>
      </c>
      <c r="K3" s="19" t="s">
        <v>650</v>
      </c>
      <c r="L3" s="19" t="s">
        <v>448</v>
      </c>
      <c r="M3" s="18" t="s">
        <v>53</v>
      </c>
    </row>
    <row r="4" spans="1:13" x14ac:dyDescent="0.25">
      <c r="A4" s="18" t="s">
        <v>430</v>
      </c>
      <c r="B4" s="4">
        <v>21</v>
      </c>
      <c r="C4" s="4">
        <v>85</v>
      </c>
      <c r="D4" s="4">
        <v>68</v>
      </c>
      <c r="E4" s="4">
        <v>56</v>
      </c>
      <c r="F4" s="4">
        <f>SUM(B4:E4)</f>
        <v>230</v>
      </c>
      <c r="H4" s="18" t="s">
        <v>430</v>
      </c>
      <c r="I4" s="5">
        <f>B4/230</f>
        <v>9.1304347826086957E-2</v>
      </c>
      <c r="J4" s="5">
        <f t="shared" ref="J4:M4" si="0">C4/230</f>
        <v>0.36956521739130432</v>
      </c>
      <c r="K4" s="5">
        <f t="shared" si="0"/>
        <v>0.29565217391304349</v>
      </c>
      <c r="L4" s="5">
        <f t="shared" si="0"/>
        <v>0.24347826086956523</v>
      </c>
      <c r="M4" s="5">
        <f t="shared" si="0"/>
        <v>1</v>
      </c>
    </row>
    <row r="5" spans="1:13" x14ac:dyDescent="0.25">
      <c r="A5" s="18" t="s">
        <v>431</v>
      </c>
      <c r="B5" s="4">
        <v>41</v>
      </c>
      <c r="C5" s="4">
        <v>97</v>
      </c>
      <c r="D5" s="4">
        <v>31</v>
      </c>
      <c r="E5" s="4">
        <v>47</v>
      </c>
      <c r="F5" s="4">
        <f t="shared" ref="F5:F17" si="1">SUM(B5:E5)</f>
        <v>216</v>
      </c>
      <c r="H5" s="18" t="s">
        <v>431</v>
      </c>
      <c r="I5" s="5">
        <f>B5/216</f>
        <v>0.18981481481481483</v>
      </c>
      <c r="J5" s="5">
        <f t="shared" ref="J5:M5" si="2">C5/216</f>
        <v>0.44907407407407407</v>
      </c>
      <c r="K5" s="5">
        <f t="shared" si="2"/>
        <v>0.14351851851851852</v>
      </c>
      <c r="L5" s="5">
        <f t="shared" si="2"/>
        <v>0.21759259259259259</v>
      </c>
      <c r="M5" s="5">
        <f t="shared" si="2"/>
        <v>1</v>
      </c>
    </row>
    <row r="6" spans="1:13" x14ac:dyDescent="0.25">
      <c r="A6" s="18" t="s">
        <v>432</v>
      </c>
      <c r="B6" s="4">
        <v>42</v>
      </c>
      <c r="C6" s="4">
        <v>93</v>
      </c>
      <c r="D6" s="4">
        <v>30</v>
      </c>
      <c r="E6" s="4">
        <v>50</v>
      </c>
      <c r="F6" s="4">
        <f t="shared" si="1"/>
        <v>215</v>
      </c>
      <c r="H6" s="18" t="s">
        <v>432</v>
      </c>
      <c r="I6" s="5">
        <f>B6/215</f>
        <v>0.19534883720930232</v>
      </c>
      <c r="J6" s="5">
        <f t="shared" ref="J6:M6" si="3">C6/215</f>
        <v>0.4325581395348837</v>
      </c>
      <c r="K6" s="5">
        <f t="shared" si="3"/>
        <v>0.13953488372093023</v>
      </c>
      <c r="L6" s="5">
        <f t="shared" si="3"/>
        <v>0.23255813953488372</v>
      </c>
      <c r="M6" s="5">
        <f t="shared" si="3"/>
        <v>1</v>
      </c>
    </row>
    <row r="7" spans="1:13" x14ac:dyDescent="0.25">
      <c r="A7" s="18" t="s">
        <v>433</v>
      </c>
      <c r="B7" s="4">
        <v>27</v>
      </c>
      <c r="C7" s="4">
        <v>94</v>
      </c>
      <c r="D7" s="4">
        <v>50</v>
      </c>
      <c r="E7" s="4">
        <v>47</v>
      </c>
      <c r="F7" s="4">
        <f t="shared" si="1"/>
        <v>218</v>
      </c>
      <c r="H7" s="18" t="s">
        <v>433</v>
      </c>
      <c r="I7" s="5">
        <f>B7/218</f>
        <v>0.12385321100917432</v>
      </c>
      <c r="J7" s="5">
        <f t="shared" ref="J7:M7" si="4">C7/218</f>
        <v>0.43119266055045874</v>
      </c>
      <c r="K7" s="5">
        <f t="shared" si="4"/>
        <v>0.22935779816513763</v>
      </c>
      <c r="L7" s="5">
        <f t="shared" si="4"/>
        <v>0.21559633027522937</v>
      </c>
      <c r="M7" s="5">
        <f t="shared" si="4"/>
        <v>1</v>
      </c>
    </row>
    <row r="8" spans="1:13" x14ac:dyDescent="0.25">
      <c r="A8" s="18" t="s">
        <v>434</v>
      </c>
      <c r="B8" s="4">
        <v>41</v>
      </c>
      <c r="C8" s="4">
        <v>127</v>
      </c>
      <c r="D8" s="4">
        <v>39</v>
      </c>
      <c r="E8" s="4">
        <v>23</v>
      </c>
      <c r="F8" s="4">
        <f t="shared" si="1"/>
        <v>230</v>
      </c>
      <c r="H8" s="18" t="s">
        <v>434</v>
      </c>
      <c r="I8" s="5">
        <f>B8/230</f>
        <v>0.17826086956521739</v>
      </c>
      <c r="J8" s="5">
        <f t="shared" ref="J8:M8" si="5">C8/230</f>
        <v>0.55217391304347829</v>
      </c>
      <c r="K8" s="5">
        <f t="shared" si="5"/>
        <v>0.16956521739130434</v>
      </c>
      <c r="L8" s="5">
        <f t="shared" si="5"/>
        <v>0.1</v>
      </c>
      <c r="M8" s="5">
        <f t="shared" si="5"/>
        <v>1</v>
      </c>
    </row>
    <row r="9" spans="1:13" x14ac:dyDescent="0.25">
      <c r="A9" s="18" t="s">
        <v>435</v>
      </c>
      <c r="B9" s="4">
        <v>27</v>
      </c>
      <c r="C9" s="4">
        <v>127</v>
      </c>
      <c r="D9" s="4">
        <v>61</v>
      </c>
      <c r="E9" s="4">
        <v>14</v>
      </c>
      <c r="F9" s="4">
        <f t="shared" si="1"/>
        <v>229</v>
      </c>
      <c r="H9" s="18" t="s">
        <v>435</v>
      </c>
      <c r="I9" s="5">
        <f>B9/229</f>
        <v>0.11790393013100436</v>
      </c>
      <c r="J9" s="5">
        <f t="shared" ref="J9:M11" si="6">C9/229</f>
        <v>0.55458515283842791</v>
      </c>
      <c r="K9" s="5">
        <f t="shared" si="6"/>
        <v>0.26637554585152839</v>
      </c>
      <c r="L9" s="5">
        <f t="shared" si="6"/>
        <v>6.1135371179039298E-2</v>
      </c>
      <c r="M9" s="5">
        <f t="shared" si="6"/>
        <v>1</v>
      </c>
    </row>
    <row r="10" spans="1:13" x14ac:dyDescent="0.25">
      <c r="A10" s="18" t="s">
        <v>436</v>
      </c>
      <c r="B10" s="4">
        <v>114</v>
      </c>
      <c r="C10" s="4">
        <v>18</v>
      </c>
      <c r="D10" s="4">
        <v>88</v>
      </c>
      <c r="E10" s="4">
        <v>9</v>
      </c>
      <c r="F10" s="4">
        <f t="shared" si="1"/>
        <v>229</v>
      </c>
      <c r="H10" s="18" t="s">
        <v>436</v>
      </c>
      <c r="I10" s="5">
        <f>B10/229</f>
        <v>0.49781659388646288</v>
      </c>
      <c r="J10" s="5">
        <f t="shared" si="6"/>
        <v>7.8602620087336247E-2</v>
      </c>
      <c r="K10" s="5">
        <f t="shared" si="6"/>
        <v>0.38427947598253276</v>
      </c>
      <c r="L10" s="5">
        <f t="shared" si="6"/>
        <v>3.9301310043668124E-2</v>
      </c>
      <c r="M10" s="5">
        <f t="shared" si="6"/>
        <v>1</v>
      </c>
    </row>
    <row r="11" spans="1:13" x14ac:dyDescent="0.25">
      <c r="A11" s="18" t="s">
        <v>437</v>
      </c>
      <c r="B11" s="4">
        <v>87</v>
      </c>
      <c r="C11" s="4">
        <v>83</v>
      </c>
      <c r="D11" s="4">
        <v>27</v>
      </c>
      <c r="E11" s="4">
        <v>32</v>
      </c>
      <c r="F11" s="4">
        <f t="shared" si="1"/>
        <v>229</v>
      </c>
      <c r="H11" s="18" t="s">
        <v>437</v>
      </c>
      <c r="I11" s="5">
        <f>B11/229</f>
        <v>0.37991266375545851</v>
      </c>
      <c r="J11" s="5">
        <f t="shared" si="6"/>
        <v>0.36244541484716158</v>
      </c>
      <c r="K11" s="5">
        <f t="shared" si="6"/>
        <v>0.11790393013100436</v>
      </c>
      <c r="L11" s="5">
        <f t="shared" si="6"/>
        <v>0.13973799126637554</v>
      </c>
      <c r="M11" s="5">
        <f t="shared" si="6"/>
        <v>1</v>
      </c>
    </row>
    <row r="12" spans="1:13" ht="30" x14ac:dyDescent="0.25">
      <c r="A12" s="18" t="s">
        <v>438</v>
      </c>
      <c r="B12" s="4">
        <v>62</v>
      </c>
      <c r="C12" s="4">
        <v>100</v>
      </c>
      <c r="D12" s="4">
        <v>45</v>
      </c>
      <c r="E12" s="4">
        <v>21</v>
      </c>
      <c r="F12" s="4">
        <f t="shared" si="1"/>
        <v>228</v>
      </c>
      <c r="H12" s="18" t="s">
        <v>438</v>
      </c>
      <c r="I12" s="5">
        <f>B12/228</f>
        <v>0.27192982456140352</v>
      </c>
      <c r="J12" s="5">
        <f t="shared" ref="J12:M12" si="7">C12/228</f>
        <v>0.43859649122807015</v>
      </c>
      <c r="K12" s="5">
        <f t="shared" si="7"/>
        <v>0.19736842105263158</v>
      </c>
      <c r="L12" s="5">
        <f t="shared" si="7"/>
        <v>9.2105263157894732E-2</v>
      </c>
      <c r="M12" s="5">
        <f t="shared" si="7"/>
        <v>1</v>
      </c>
    </row>
    <row r="13" spans="1:13" ht="30" x14ac:dyDescent="0.25">
      <c r="A13" s="18" t="s">
        <v>439</v>
      </c>
      <c r="B13" s="4">
        <v>40</v>
      </c>
      <c r="C13" s="4">
        <v>108</v>
      </c>
      <c r="D13" s="4">
        <v>54</v>
      </c>
      <c r="E13" s="4">
        <v>22</v>
      </c>
      <c r="F13" s="4">
        <f t="shared" si="1"/>
        <v>224</v>
      </c>
      <c r="H13" s="18" t="s">
        <v>439</v>
      </c>
      <c r="I13" s="5">
        <f>B13/224</f>
        <v>0.17857142857142858</v>
      </c>
      <c r="J13" s="5">
        <f t="shared" ref="J13:M13" si="8">C13/224</f>
        <v>0.48214285714285715</v>
      </c>
      <c r="K13" s="5">
        <f t="shared" si="8"/>
        <v>0.24107142857142858</v>
      </c>
      <c r="L13" s="5">
        <f t="shared" si="8"/>
        <v>9.8214285714285712E-2</v>
      </c>
      <c r="M13" s="5">
        <f t="shared" si="8"/>
        <v>1</v>
      </c>
    </row>
    <row r="14" spans="1:13" x14ac:dyDescent="0.25">
      <c r="A14" s="18" t="s">
        <v>440</v>
      </c>
      <c r="B14" s="4">
        <v>22</v>
      </c>
      <c r="C14" s="4">
        <v>100</v>
      </c>
      <c r="D14" s="4">
        <v>51</v>
      </c>
      <c r="E14" s="4">
        <v>50</v>
      </c>
      <c r="F14" s="4">
        <f t="shared" si="1"/>
        <v>223</v>
      </c>
      <c r="H14" s="18" t="s">
        <v>440</v>
      </c>
      <c r="I14" s="5">
        <f>B14/223</f>
        <v>9.8654708520179366E-2</v>
      </c>
      <c r="J14" s="5">
        <f t="shared" ref="J14:M14" si="9">C14/223</f>
        <v>0.44843049327354262</v>
      </c>
      <c r="K14" s="5">
        <f t="shared" si="9"/>
        <v>0.22869955156950672</v>
      </c>
      <c r="L14" s="5">
        <f t="shared" si="9"/>
        <v>0.22421524663677131</v>
      </c>
      <c r="M14" s="5">
        <f t="shared" si="9"/>
        <v>1</v>
      </c>
    </row>
    <row r="15" spans="1:13" x14ac:dyDescent="0.25">
      <c r="A15" s="18" t="s">
        <v>441</v>
      </c>
      <c r="B15" s="4">
        <v>12</v>
      </c>
      <c r="C15" s="4">
        <v>81</v>
      </c>
      <c r="D15" s="4">
        <v>50</v>
      </c>
      <c r="E15" s="4">
        <v>78</v>
      </c>
      <c r="F15" s="4">
        <f t="shared" si="1"/>
        <v>221</v>
      </c>
      <c r="H15" s="18" t="s">
        <v>441</v>
      </c>
      <c r="I15" s="5">
        <f>B15/221</f>
        <v>5.4298642533936653E-2</v>
      </c>
      <c r="J15" s="5">
        <f t="shared" ref="J15:M15" si="10">C15/221</f>
        <v>0.36651583710407237</v>
      </c>
      <c r="K15" s="5">
        <f t="shared" si="10"/>
        <v>0.22624434389140272</v>
      </c>
      <c r="L15" s="5">
        <f t="shared" si="10"/>
        <v>0.35294117647058826</v>
      </c>
      <c r="M15" s="5">
        <f t="shared" si="10"/>
        <v>1</v>
      </c>
    </row>
    <row r="16" spans="1:13" ht="30" x14ac:dyDescent="0.25">
      <c r="A16" s="18" t="s">
        <v>442</v>
      </c>
      <c r="B16" s="4">
        <v>90</v>
      </c>
      <c r="C16" s="4">
        <v>108</v>
      </c>
      <c r="D16" s="4">
        <v>20</v>
      </c>
      <c r="E16" s="4">
        <v>10</v>
      </c>
      <c r="F16" s="4">
        <f t="shared" si="1"/>
        <v>228</v>
      </c>
      <c r="H16" s="18" t="s">
        <v>442</v>
      </c>
      <c r="I16" s="5">
        <f>B16/228</f>
        <v>0.39473684210526316</v>
      </c>
      <c r="J16" s="5">
        <f t="shared" ref="J16:M16" si="11">C16/228</f>
        <v>0.47368421052631576</v>
      </c>
      <c r="K16" s="5">
        <f t="shared" si="11"/>
        <v>8.771929824561403E-2</v>
      </c>
      <c r="L16" s="5">
        <f t="shared" si="11"/>
        <v>4.3859649122807015E-2</v>
      </c>
      <c r="M16" s="5">
        <f t="shared" si="11"/>
        <v>1</v>
      </c>
    </row>
    <row r="17" spans="1:13" ht="45" x14ac:dyDescent="0.25">
      <c r="A17" s="18" t="s">
        <v>443</v>
      </c>
      <c r="B17" s="4">
        <v>49</v>
      </c>
      <c r="C17" s="4">
        <v>106</v>
      </c>
      <c r="D17" s="4">
        <v>37</v>
      </c>
      <c r="E17" s="4">
        <v>26</v>
      </c>
      <c r="F17" s="4">
        <f t="shared" si="1"/>
        <v>218</v>
      </c>
      <c r="H17" s="18" t="s">
        <v>443</v>
      </c>
      <c r="I17" s="5">
        <f>B17/218</f>
        <v>0.22477064220183487</v>
      </c>
      <c r="J17" s="5">
        <f t="shared" ref="J17:M17" si="12">C17/218</f>
        <v>0.48623853211009177</v>
      </c>
      <c r="K17" s="5">
        <f t="shared" si="12"/>
        <v>0.16972477064220184</v>
      </c>
      <c r="L17" s="5">
        <f t="shared" si="12"/>
        <v>0.11926605504587157</v>
      </c>
      <c r="M17" s="5">
        <f t="shared" si="12"/>
        <v>1</v>
      </c>
    </row>
    <row r="18" spans="1:13" x14ac:dyDescent="0.25">
      <c r="A18" s="18" t="s">
        <v>444</v>
      </c>
      <c r="B18" s="4">
        <v>62</v>
      </c>
      <c r="C18" s="4">
        <v>120</v>
      </c>
      <c r="D18" s="4">
        <v>38</v>
      </c>
      <c r="E18" s="4">
        <v>6</v>
      </c>
      <c r="F18" s="4">
        <f>SUM(B18:E18)</f>
        <v>226</v>
      </c>
      <c r="H18" s="18" t="s">
        <v>444</v>
      </c>
      <c r="I18" s="5">
        <f>B18/226</f>
        <v>0.27433628318584069</v>
      </c>
      <c r="J18" s="5">
        <f t="shared" ref="J18:M18" si="13">C18/226</f>
        <v>0.53097345132743368</v>
      </c>
      <c r="K18" s="5">
        <f t="shared" si="13"/>
        <v>0.16814159292035399</v>
      </c>
      <c r="L18" s="5">
        <f t="shared" si="13"/>
        <v>2.6548672566371681E-2</v>
      </c>
      <c r="M18" s="5">
        <f t="shared" si="13"/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H25" sqref="H25"/>
    </sheetView>
  </sheetViews>
  <sheetFormatPr defaultRowHeight="15" x14ac:dyDescent="0.25"/>
  <cols>
    <col min="1" max="1" width="40.140625" customWidth="1"/>
    <col min="3" max="3" width="11.28515625" customWidth="1"/>
    <col min="5" max="5" width="14.7109375" customWidth="1"/>
    <col min="8" max="8" width="54.85546875" customWidth="1"/>
    <col min="9" max="9" width="11" customWidth="1"/>
    <col min="10" max="10" width="11.140625" customWidth="1"/>
  </cols>
  <sheetData>
    <row r="1" spans="1:13" x14ac:dyDescent="0.25">
      <c r="A1" t="s">
        <v>450</v>
      </c>
    </row>
    <row r="3" spans="1:13" x14ac:dyDescent="0.25">
      <c r="A3" s="4"/>
      <c r="B3" s="4" t="s">
        <v>466</v>
      </c>
      <c r="C3" s="4" t="s">
        <v>467</v>
      </c>
      <c r="D3" s="4" t="s">
        <v>182</v>
      </c>
      <c r="E3" s="4" t="s">
        <v>468</v>
      </c>
      <c r="F3" s="4" t="s">
        <v>53</v>
      </c>
      <c r="H3" s="4"/>
      <c r="I3" s="4" t="s">
        <v>466</v>
      </c>
      <c r="J3" s="4" t="s">
        <v>467</v>
      </c>
      <c r="K3" s="4" t="s">
        <v>182</v>
      </c>
      <c r="L3" s="4" t="s">
        <v>468</v>
      </c>
      <c r="M3" s="4" t="s">
        <v>53</v>
      </c>
    </row>
    <row r="4" spans="1:13" x14ac:dyDescent="0.25">
      <c r="A4" s="18" t="s">
        <v>451</v>
      </c>
      <c r="B4" s="4">
        <v>41</v>
      </c>
      <c r="C4" s="4">
        <v>128</v>
      </c>
      <c r="D4" s="4">
        <v>50</v>
      </c>
      <c r="E4" s="4">
        <v>5</v>
      </c>
      <c r="F4" s="4">
        <f>SUM(B4:E4)</f>
        <v>224</v>
      </c>
      <c r="H4" s="18" t="s">
        <v>451</v>
      </c>
      <c r="I4" s="5">
        <f>B4/224</f>
        <v>0.18303571428571427</v>
      </c>
      <c r="J4" s="5">
        <f t="shared" ref="J4:M4" si="0">C4/224</f>
        <v>0.5714285714285714</v>
      </c>
      <c r="K4" s="5">
        <f t="shared" si="0"/>
        <v>0.22321428571428573</v>
      </c>
      <c r="L4" s="5">
        <f t="shared" si="0"/>
        <v>2.2321428571428572E-2</v>
      </c>
      <c r="M4" s="5">
        <f t="shared" si="0"/>
        <v>1</v>
      </c>
    </row>
    <row r="5" spans="1:13" x14ac:dyDescent="0.25">
      <c r="A5" s="18" t="s">
        <v>452</v>
      </c>
      <c r="B5" s="4">
        <v>23</v>
      </c>
      <c r="C5" s="4">
        <v>53</v>
      </c>
      <c r="D5" s="4">
        <v>48</v>
      </c>
      <c r="E5" s="4">
        <v>101</v>
      </c>
      <c r="F5" s="4">
        <f t="shared" ref="F5:F19" si="1">SUM(B5:E5)</f>
        <v>225</v>
      </c>
      <c r="H5" s="18" t="s">
        <v>452</v>
      </c>
      <c r="I5" s="5">
        <f>B5/225</f>
        <v>0.10222222222222223</v>
      </c>
      <c r="J5" s="5">
        <f t="shared" ref="J5:M5" si="2">C5/225</f>
        <v>0.23555555555555555</v>
      </c>
      <c r="K5" s="5">
        <f t="shared" si="2"/>
        <v>0.21333333333333335</v>
      </c>
      <c r="L5" s="5">
        <f t="shared" si="2"/>
        <v>0.44888888888888889</v>
      </c>
      <c r="M5" s="5">
        <f t="shared" si="2"/>
        <v>1</v>
      </c>
    </row>
    <row r="6" spans="1:13" x14ac:dyDescent="0.25">
      <c r="A6" s="18" t="s">
        <v>453</v>
      </c>
      <c r="B6" s="4">
        <v>19</v>
      </c>
      <c r="C6" s="4">
        <v>103</v>
      </c>
      <c r="D6" s="4">
        <v>91</v>
      </c>
      <c r="E6" s="4">
        <v>9</v>
      </c>
      <c r="F6" s="4">
        <f t="shared" si="1"/>
        <v>222</v>
      </c>
      <c r="H6" s="18" t="s">
        <v>453</v>
      </c>
      <c r="I6" s="5">
        <f>B6/222</f>
        <v>8.5585585585585586E-2</v>
      </c>
      <c r="J6" s="5">
        <f t="shared" ref="J6:M8" si="3">C6/222</f>
        <v>0.46396396396396394</v>
      </c>
      <c r="K6" s="5">
        <f t="shared" si="3"/>
        <v>0.40990990990990989</v>
      </c>
      <c r="L6" s="5">
        <f t="shared" si="3"/>
        <v>4.0540540540540543E-2</v>
      </c>
      <c r="M6" s="5">
        <f t="shared" si="3"/>
        <v>1</v>
      </c>
    </row>
    <row r="7" spans="1:13" x14ac:dyDescent="0.25">
      <c r="A7" s="18" t="s">
        <v>454</v>
      </c>
      <c r="B7" s="4">
        <v>26</v>
      </c>
      <c r="C7" s="4">
        <v>70</v>
      </c>
      <c r="D7" s="4">
        <v>76</v>
      </c>
      <c r="E7" s="4">
        <v>50</v>
      </c>
      <c r="F7" s="4">
        <f t="shared" si="1"/>
        <v>222</v>
      </c>
      <c r="H7" s="18" t="s">
        <v>454</v>
      </c>
      <c r="I7" s="5">
        <f>B7/222</f>
        <v>0.11711711711711711</v>
      </c>
      <c r="J7" s="5">
        <f t="shared" si="3"/>
        <v>0.31531531531531531</v>
      </c>
      <c r="K7" s="5">
        <f t="shared" si="3"/>
        <v>0.34234234234234234</v>
      </c>
      <c r="L7" s="5">
        <f t="shared" si="3"/>
        <v>0.22522522522522523</v>
      </c>
      <c r="M7" s="5">
        <f t="shared" si="3"/>
        <v>1</v>
      </c>
    </row>
    <row r="8" spans="1:13" ht="30" x14ac:dyDescent="0.25">
      <c r="A8" s="18" t="s">
        <v>455</v>
      </c>
      <c r="B8" s="4">
        <v>7</v>
      </c>
      <c r="C8" s="4">
        <v>47</v>
      </c>
      <c r="D8" s="4">
        <v>132</v>
      </c>
      <c r="E8" s="4">
        <v>36</v>
      </c>
      <c r="F8" s="4">
        <f t="shared" si="1"/>
        <v>222</v>
      </c>
      <c r="H8" s="18" t="s">
        <v>455</v>
      </c>
      <c r="I8" s="5">
        <f>B8/222</f>
        <v>3.1531531531531529E-2</v>
      </c>
      <c r="J8" s="5">
        <f t="shared" si="3"/>
        <v>0.21171171171171171</v>
      </c>
      <c r="K8" s="5">
        <f t="shared" si="3"/>
        <v>0.59459459459459463</v>
      </c>
      <c r="L8" s="5">
        <f t="shared" si="3"/>
        <v>0.16216216216216217</v>
      </c>
      <c r="M8" s="5">
        <f t="shared" si="3"/>
        <v>1</v>
      </c>
    </row>
    <row r="9" spans="1:13" x14ac:dyDescent="0.25">
      <c r="A9" s="18" t="s">
        <v>456</v>
      </c>
      <c r="B9" s="4">
        <v>17</v>
      </c>
      <c r="C9" s="4">
        <v>86</v>
      </c>
      <c r="D9" s="4">
        <v>87</v>
      </c>
      <c r="E9" s="4">
        <v>34</v>
      </c>
      <c r="F9" s="4">
        <f t="shared" si="1"/>
        <v>224</v>
      </c>
      <c r="H9" s="18" t="s">
        <v>456</v>
      </c>
      <c r="I9" s="5">
        <f>B9/224</f>
        <v>7.5892857142857137E-2</v>
      </c>
      <c r="J9" s="5">
        <f t="shared" ref="J9:M9" si="4">C9/224</f>
        <v>0.38392857142857145</v>
      </c>
      <c r="K9" s="5">
        <f t="shared" si="4"/>
        <v>0.38839285714285715</v>
      </c>
      <c r="L9" s="5">
        <f t="shared" si="4"/>
        <v>0.15178571428571427</v>
      </c>
      <c r="M9" s="5">
        <f t="shared" si="4"/>
        <v>1</v>
      </c>
    </row>
    <row r="10" spans="1:13" x14ac:dyDescent="0.25">
      <c r="A10" s="18" t="s">
        <v>457</v>
      </c>
      <c r="B10" s="4">
        <v>19</v>
      </c>
      <c r="C10" s="4">
        <v>82</v>
      </c>
      <c r="D10" s="4">
        <v>94</v>
      </c>
      <c r="E10" s="4">
        <v>30</v>
      </c>
      <c r="F10" s="4">
        <f t="shared" si="1"/>
        <v>225</v>
      </c>
      <c r="H10" s="18" t="s">
        <v>457</v>
      </c>
      <c r="I10" s="5">
        <f>B10/225</f>
        <v>8.4444444444444447E-2</v>
      </c>
      <c r="J10" s="5">
        <f t="shared" ref="J10:M11" si="5">C10/225</f>
        <v>0.36444444444444446</v>
      </c>
      <c r="K10" s="5">
        <f t="shared" si="5"/>
        <v>0.4177777777777778</v>
      </c>
      <c r="L10" s="5">
        <f t="shared" si="5"/>
        <v>0.13333333333333333</v>
      </c>
      <c r="M10" s="5">
        <f t="shared" si="5"/>
        <v>1</v>
      </c>
    </row>
    <row r="11" spans="1:13" x14ac:dyDescent="0.25">
      <c r="A11" s="18" t="s">
        <v>458</v>
      </c>
      <c r="B11" s="4">
        <v>14</v>
      </c>
      <c r="C11" s="4">
        <v>118</v>
      </c>
      <c r="D11" s="4">
        <v>87</v>
      </c>
      <c r="E11" s="4">
        <v>6</v>
      </c>
      <c r="F11" s="4">
        <f t="shared" si="1"/>
        <v>225</v>
      </c>
      <c r="H11" s="18" t="s">
        <v>458</v>
      </c>
      <c r="I11" s="5">
        <f>B11/225</f>
        <v>6.222222222222222E-2</v>
      </c>
      <c r="J11" s="5">
        <f t="shared" si="5"/>
        <v>0.52444444444444449</v>
      </c>
      <c r="K11" s="5">
        <f t="shared" si="5"/>
        <v>0.38666666666666666</v>
      </c>
      <c r="L11" s="5">
        <f t="shared" si="5"/>
        <v>2.6666666666666668E-2</v>
      </c>
      <c r="M11" s="5">
        <f t="shared" si="5"/>
        <v>1</v>
      </c>
    </row>
    <row r="12" spans="1:13" x14ac:dyDescent="0.25">
      <c r="A12" s="18" t="s">
        <v>459</v>
      </c>
      <c r="B12" s="4">
        <v>34</v>
      </c>
      <c r="C12" s="4">
        <v>84</v>
      </c>
      <c r="D12" s="4">
        <v>66</v>
      </c>
      <c r="E12" s="4">
        <v>40</v>
      </c>
      <c r="F12" s="4">
        <f t="shared" si="1"/>
        <v>224</v>
      </c>
      <c r="H12" s="18" t="s">
        <v>459</v>
      </c>
      <c r="I12" s="5">
        <f>B12/224</f>
        <v>0.15178571428571427</v>
      </c>
      <c r="J12" s="5">
        <f t="shared" ref="J12:M13" si="6">C12/224</f>
        <v>0.375</v>
      </c>
      <c r="K12" s="5">
        <f t="shared" si="6"/>
        <v>0.29464285714285715</v>
      </c>
      <c r="L12" s="5">
        <f t="shared" si="6"/>
        <v>0.17857142857142858</v>
      </c>
      <c r="M12" s="5">
        <f t="shared" si="6"/>
        <v>1</v>
      </c>
    </row>
    <row r="13" spans="1:13" x14ac:dyDescent="0.25">
      <c r="A13" s="18" t="s">
        <v>460</v>
      </c>
      <c r="B13" s="4">
        <v>43</v>
      </c>
      <c r="C13" s="4">
        <v>96</v>
      </c>
      <c r="D13" s="4">
        <v>67</v>
      </c>
      <c r="E13" s="4">
        <v>18</v>
      </c>
      <c r="F13" s="4">
        <f t="shared" si="1"/>
        <v>224</v>
      </c>
      <c r="H13" s="18" t="s">
        <v>460</v>
      </c>
      <c r="I13" s="5">
        <f>B13/224</f>
        <v>0.19196428571428573</v>
      </c>
      <c r="J13" s="5">
        <f t="shared" si="6"/>
        <v>0.42857142857142855</v>
      </c>
      <c r="K13" s="5">
        <f t="shared" si="6"/>
        <v>0.29910714285714285</v>
      </c>
      <c r="L13" s="5">
        <f t="shared" si="6"/>
        <v>8.0357142857142863E-2</v>
      </c>
      <c r="M13" s="5">
        <f t="shared" si="6"/>
        <v>1</v>
      </c>
    </row>
    <row r="14" spans="1:13" x14ac:dyDescent="0.25">
      <c r="A14" s="18" t="s">
        <v>434</v>
      </c>
      <c r="B14" s="4">
        <v>26</v>
      </c>
      <c r="C14" s="4">
        <v>77</v>
      </c>
      <c r="D14" s="4">
        <v>115</v>
      </c>
      <c r="E14" s="4">
        <v>8</v>
      </c>
      <c r="F14" s="4">
        <f t="shared" si="1"/>
        <v>226</v>
      </c>
      <c r="H14" s="18" t="s">
        <v>434</v>
      </c>
      <c r="I14" s="5">
        <f>B14/226</f>
        <v>0.11504424778761062</v>
      </c>
      <c r="J14" s="5">
        <f t="shared" ref="J14:M14" si="7">C14/226</f>
        <v>0.34070796460176989</v>
      </c>
      <c r="K14" s="5">
        <f t="shared" si="7"/>
        <v>0.50884955752212391</v>
      </c>
      <c r="L14" s="5">
        <f t="shared" si="7"/>
        <v>3.5398230088495575E-2</v>
      </c>
      <c r="M14" s="5">
        <f t="shared" si="7"/>
        <v>1</v>
      </c>
    </row>
    <row r="15" spans="1:13" x14ac:dyDescent="0.25">
      <c r="A15" s="18" t="s">
        <v>461</v>
      </c>
      <c r="B15" s="4">
        <v>47</v>
      </c>
      <c r="C15" s="4">
        <v>90</v>
      </c>
      <c r="D15" s="4">
        <v>84</v>
      </c>
      <c r="E15" s="4">
        <v>6</v>
      </c>
      <c r="F15" s="4">
        <f t="shared" si="1"/>
        <v>227</v>
      </c>
      <c r="H15" s="18" t="s">
        <v>461</v>
      </c>
      <c r="I15" s="5">
        <f>B15/227</f>
        <v>0.20704845814977973</v>
      </c>
      <c r="J15" s="5">
        <f t="shared" ref="J15:M15" si="8">C15/227</f>
        <v>0.3964757709251101</v>
      </c>
      <c r="K15" s="5">
        <f t="shared" si="8"/>
        <v>0.37004405286343611</v>
      </c>
      <c r="L15" s="5">
        <f t="shared" si="8"/>
        <v>2.643171806167401E-2</v>
      </c>
      <c r="M15" s="5">
        <f t="shared" si="8"/>
        <v>1</v>
      </c>
    </row>
    <row r="16" spans="1:13" x14ac:dyDescent="0.25">
      <c r="A16" s="18" t="s">
        <v>462</v>
      </c>
      <c r="B16" s="4">
        <v>25</v>
      </c>
      <c r="C16" s="4">
        <v>55</v>
      </c>
      <c r="D16" s="4">
        <v>130</v>
      </c>
      <c r="E16" s="4">
        <v>15</v>
      </c>
      <c r="F16" s="4">
        <f t="shared" si="1"/>
        <v>225</v>
      </c>
      <c r="H16" s="18" t="s">
        <v>462</v>
      </c>
      <c r="I16" s="5">
        <f>B16/225</f>
        <v>0.1111111111111111</v>
      </c>
      <c r="J16" s="5">
        <f t="shared" ref="J16:M16" si="9">C16/225</f>
        <v>0.24444444444444444</v>
      </c>
      <c r="K16" s="5">
        <f t="shared" si="9"/>
        <v>0.57777777777777772</v>
      </c>
      <c r="L16" s="5">
        <f t="shared" si="9"/>
        <v>6.6666666666666666E-2</v>
      </c>
      <c r="M16" s="5">
        <f t="shared" si="9"/>
        <v>1</v>
      </c>
    </row>
    <row r="17" spans="1:13" x14ac:dyDescent="0.25">
      <c r="A17" s="18" t="s">
        <v>463</v>
      </c>
      <c r="B17" s="4">
        <v>70</v>
      </c>
      <c r="C17" s="4">
        <v>117</v>
      </c>
      <c r="D17" s="4">
        <v>37</v>
      </c>
      <c r="E17" s="4">
        <v>3</v>
      </c>
      <c r="F17" s="4">
        <f t="shared" si="1"/>
        <v>227</v>
      </c>
      <c r="H17" s="18" t="s">
        <v>463</v>
      </c>
      <c r="I17" s="5">
        <f>B17/227</f>
        <v>0.30837004405286345</v>
      </c>
      <c r="J17" s="5">
        <f t="shared" ref="J17:M17" si="10">C17/227</f>
        <v>0.51541850220264318</v>
      </c>
      <c r="K17" s="5">
        <f t="shared" si="10"/>
        <v>0.16299559471365638</v>
      </c>
      <c r="L17" s="5">
        <f t="shared" si="10"/>
        <v>1.3215859030837005E-2</v>
      </c>
      <c r="M17" s="5">
        <f t="shared" si="10"/>
        <v>1</v>
      </c>
    </row>
    <row r="18" spans="1:13" x14ac:dyDescent="0.25">
      <c r="A18" s="18" t="s">
        <v>464</v>
      </c>
      <c r="B18" s="4">
        <v>39</v>
      </c>
      <c r="C18" s="4">
        <v>99</v>
      </c>
      <c r="D18" s="4">
        <v>76</v>
      </c>
      <c r="E18" s="4">
        <v>10</v>
      </c>
      <c r="F18" s="4">
        <f t="shared" si="1"/>
        <v>224</v>
      </c>
      <c r="H18" s="18" t="s">
        <v>820</v>
      </c>
      <c r="I18" s="5">
        <f>B18/224</f>
        <v>0.17410714285714285</v>
      </c>
      <c r="J18" s="5">
        <f t="shared" ref="J18:M18" si="11">C18/224</f>
        <v>0.4419642857142857</v>
      </c>
      <c r="K18" s="5">
        <f t="shared" si="11"/>
        <v>0.3392857142857143</v>
      </c>
      <c r="L18" s="5">
        <f t="shared" si="11"/>
        <v>4.4642857142857144E-2</v>
      </c>
      <c r="M18" s="5">
        <f t="shared" si="11"/>
        <v>1</v>
      </c>
    </row>
    <row r="19" spans="1:13" x14ac:dyDescent="0.25">
      <c r="A19" s="18" t="s">
        <v>465</v>
      </c>
      <c r="B19" s="4">
        <v>28</v>
      </c>
      <c r="C19" s="4">
        <v>88</v>
      </c>
      <c r="D19" s="4">
        <v>87</v>
      </c>
      <c r="E19" s="4">
        <v>18</v>
      </c>
      <c r="F19" s="4">
        <f t="shared" si="1"/>
        <v>221</v>
      </c>
      <c r="H19" s="18" t="s">
        <v>465</v>
      </c>
      <c r="I19" s="5">
        <f>B19/221</f>
        <v>0.12669683257918551</v>
      </c>
      <c r="J19" s="5">
        <f t="shared" ref="J19:M19" si="12">C19/221</f>
        <v>0.39819004524886875</v>
      </c>
      <c r="K19" s="5">
        <f t="shared" si="12"/>
        <v>0.39366515837104071</v>
      </c>
      <c r="L19" s="5">
        <f t="shared" si="12"/>
        <v>8.1447963800904979E-2</v>
      </c>
      <c r="M19" s="5">
        <f t="shared" si="12"/>
        <v>1</v>
      </c>
    </row>
  </sheetData>
  <pageMargins left="0.7" right="0.7" top="0.75" bottom="0.75" header="0.3" footer="0.3"/>
  <ignoredErrors>
    <ignoredError sqref="I16:M16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8" sqref="H18"/>
    </sheetView>
  </sheetViews>
  <sheetFormatPr defaultRowHeight="15" x14ac:dyDescent="0.25"/>
  <cols>
    <col min="1" max="1" width="57.140625" bestFit="1" customWidth="1"/>
    <col min="6" max="6" width="52.140625" customWidth="1"/>
  </cols>
  <sheetData>
    <row r="1" spans="1:9" x14ac:dyDescent="0.25">
      <c r="A1" t="s">
        <v>471</v>
      </c>
    </row>
    <row r="3" spans="1:9" x14ac:dyDescent="0.25">
      <c r="A3" s="4"/>
      <c r="B3" s="4" t="s">
        <v>81</v>
      </c>
      <c r="C3" s="4" t="s">
        <v>80</v>
      </c>
      <c r="D3" s="4" t="s">
        <v>53</v>
      </c>
      <c r="F3" s="4"/>
      <c r="G3" s="4" t="s">
        <v>81</v>
      </c>
      <c r="H3" s="4" t="s">
        <v>80</v>
      </c>
      <c r="I3" s="4" t="s">
        <v>53</v>
      </c>
    </row>
    <row r="4" spans="1:9" x14ac:dyDescent="0.25">
      <c r="A4" s="4" t="s">
        <v>472</v>
      </c>
      <c r="B4" s="4">
        <v>68</v>
      </c>
      <c r="C4" s="4">
        <v>159</v>
      </c>
      <c r="D4" s="4">
        <f>SUM(B4:C4)</f>
        <v>227</v>
      </c>
      <c r="F4" s="4" t="s">
        <v>472</v>
      </c>
      <c r="G4" s="5">
        <f>B4/227</f>
        <v>0.29955947136563876</v>
      </c>
      <c r="H4" s="5">
        <f t="shared" ref="H4:I4" si="0">C4/227</f>
        <v>0.70044052863436124</v>
      </c>
      <c r="I4" s="5">
        <f t="shared" si="0"/>
        <v>1</v>
      </c>
    </row>
    <row r="5" spans="1:9" x14ac:dyDescent="0.25">
      <c r="A5" s="4" t="s">
        <v>473</v>
      </c>
      <c r="B5" s="4">
        <v>83</v>
      </c>
      <c r="C5" s="4">
        <v>142</v>
      </c>
      <c r="D5" s="4">
        <f t="shared" ref="D5:D8" si="1">SUM(B5:C5)</f>
        <v>225</v>
      </c>
      <c r="F5" s="4" t="s">
        <v>473</v>
      </c>
      <c r="G5" s="5">
        <f>B5/225</f>
        <v>0.36888888888888888</v>
      </c>
      <c r="H5" s="5">
        <f t="shared" ref="H5:I5" si="2">C5/225</f>
        <v>0.63111111111111107</v>
      </c>
      <c r="I5" s="5">
        <f t="shared" si="2"/>
        <v>1</v>
      </c>
    </row>
    <row r="6" spans="1:9" x14ac:dyDescent="0.25">
      <c r="A6" s="4" t="s">
        <v>474</v>
      </c>
      <c r="B6" s="4">
        <v>138</v>
      </c>
      <c r="C6" s="4">
        <v>88</v>
      </c>
      <c r="D6" s="4">
        <f t="shared" si="1"/>
        <v>226</v>
      </c>
      <c r="F6" s="4" t="s">
        <v>474</v>
      </c>
      <c r="G6" s="5">
        <f>B6/226</f>
        <v>0.61061946902654862</v>
      </c>
      <c r="H6" s="5">
        <f t="shared" ref="H6:I6" si="3">C6/226</f>
        <v>0.38938053097345132</v>
      </c>
      <c r="I6" s="5">
        <f t="shared" si="3"/>
        <v>1</v>
      </c>
    </row>
    <row r="7" spans="1:9" x14ac:dyDescent="0.25">
      <c r="A7" s="4" t="s">
        <v>475</v>
      </c>
      <c r="B7" s="4">
        <v>35</v>
      </c>
      <c r="C7" s="4">
        <v>190</v>
      </c>
      <c r="D7" s="4">
        <f t="shared" si="1"/>
        <v>225</v>
      </c>
      <c r="F7" s="4" t="s">
        <v>475</v>
      </c>
      <c r="G7" s="5">
        <f>B7/225</f>
        <v>0.15555555555555556</v>
      </c>
      <c r="H7" s="5">
        <f t="shared" ref="H7:I7" si="4">C7/225</f>
        <v>0.84444444444444444</v>
      </c>
      <c r="I7" s="5">
        <f t="shared" si="4"/>
        <v>1</v>
      </c>
    </row>
    <row r="8" spans="1:9" x14ac:dyDescent="0.25">
      <c r="A8" s="4" t="s">
        <v>476</v>
      </c>
      <c r="B8" s="4">
        <v>12</v>
      </c>
      <c r="C8" s="4">
        <v>214</v>
      </c>
      <c r="D8" s="4">
        <f t="shared" si="1"/>
        <v>226</v>
      </c>
      <c r="F8" s="4" t="s">
        <v>476</v>
      </c>
      <c r="G8" s="5">
        <f>B8/226</f>
        <v>5.3097345132743362E-2</v>
      </c>
      <c r="H8" s="5">
        <f t="shared" ref="H8:I8" si="5">C8/226</f>
        <v>0.94690265486725667</v>
      </c>
      <c r="I8" s="5">
        <f t="shared" si="5"/>
        <v>1</v>
      </c>
    </row>
  </sheetData>
  <pageMargins left="0.7" right="0.7" top="0.75" bottom="0.75" header="0.3" footer="0.3"/>
  <ignoredErrors>
    <ignoredError sqref="G6:I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G12" sqref="G12"/>
    </sheetView>
  </sheetViews>
  <sheetFormatPr defaultRowHeight="15" x14ac:dyDescent="0.25"/>
  <cols>
    <col min="1" max="1" width="9.140625" style="56"/>
    <col min="2" max="2" width="10.85546875" style="56" customWidth="1"/>
    <col min="3" max="3" width="11" style="56" customWidth="1"/>
    <col min="4" max="4" width="9.140625" style="56"/>
    <col min="5" max="5" width="9.140625" style="2"/>
    <col min="6" max="16384" width="9.140625" style="56"/>
  </cols>
  <sheetData>
    <row r="1" spans="1:4" x14ac:dyDescent="0.25">
      <c r="A1" s="56" t="s">
        <v>9</v>
      </c>
    </row>
    <row r="2" spans="1:4" x14ac:dyDescent="0.25">
      <c r="A2" s="149"/>
      <c r="B2" s="149"/>
      <c r="C2" s="149"/>
      <c r="D2" s="98"/>
    </row>
    <row r="3" spans="1:4" ht="30" x14ac:dyDescent="0.25">
      <c r="A3" s="99" t="s">
        <v>61</v>
      </c>
      <c r="B3" s="100" t="s">
        <v>10</v>
      </c>
      <c r="C3" s="100" t="s">
        <v>78</v>
      </c>
      <c r="D3" s="98"/>
    </row>
    <row r="4" spans="1:4" x14ac:dyDescent="0.25">
      <c r="A4" s="101" t="s">
        <v>11</v>
      </c>
      <c r="B4" s="102">
        <v>1</v>
      </c>
      <c r="C4" s="103">
        <v>0.26041666666666663</v>
      </c>
      <c r="D4" s="98"/>
    </row>
    <row r="5" spans="1:4" x14ac:dyDescent="0.25">
      <c r="A5" s="101" t="s">
        <v>12</v>
      </c>
      <c r="B5" s="102">
        <v>1</v>
      </c>
      <c r="C5" s="103">
        <v>0.26041666666666663</v>
      </c>
      <c r="D5" s="98"/>
    </row>
    <row r="6" spans="1:4" x14ac:dyDescent="0.25">
      <c r="A6" s="101" t="s">
        <v>13</v>
      </c>
      <c r="B6" s="102">
        <v>2</v>
      </c>
      <c r="C6" s="103">
        <v>0.52083333333333326</v>
      </c>
      <c r="D6" s="98"/>
    </row>
    <row r="7" spans="1:4" x14ac:dyDescent="0.25">
      <c r="A7" s="101" t="s">
        <v>14</v>
      </c>
      <c r="B7" s="102">
        <v>2</v>
      </c>
      <c r="C7" s="103">
        <v>0.52083333333333326</v>
      </c>
      <c r="D7" s="98"/>
    </row>
    <row r="8" spans="1:4" x14ac:dyDescent="0.25">
      <c r="A8" s="101" t="s">
        <v>15</v>
      </c>
      <c r="B8" s="102">
        <v>1</v>
      </c>
      <c r="C8" s="103">
        <v>0.26041666666666663</v>
      </c>
      <c r="D8" s="98"/>
    </row>
    <row r="9" spans="1:4" x14ac:dyDescent="0.25">
      <c r="A9" s="101" t="s">
        <v>16</v>
      </c>
      <c r="B9" s="102">
        <v>1</v>
      </c>
      <c r="C9" s="103">
        <v>0.26041666666666663</v>
      </c>
      <c r="D9" s="98"/>
    </row>
    <row r="10" spans="1:4" x14ac:dyDescent="0.25">
      <c r="A10" s="101" t="s">
        <v>17</v>
      </c>
      <c r="B10" s="102">
        <v>4</v>
      </c>
      <c r="C10" s="104">
        <v>1.0416666666666665</v>
      </c>
      <c r="D10" s="98"/>
    </row>
    <row r="11" spans="1:4" x14ac:dyDescent="0.25">
      <c r="A11" s="101" t="s">
        <v>18</v>
      </c>
      <c r="B11" s="102">
        <v>3</v>
      </c>
      <c r="C11" s="103">
        <v>0.78125</v>
      </c>
      <c r="D11" s="98"/>
    </row>
    <row r="12" spans="1:4" x14ac:dyDescent="0.25">
      <c r="A12" s="101" t="s">
        <v>19</v>
      </c>
      <c r="B12" s="102">
        <v>3</v>
      </c>
      <c r="C12" s="103">
        <v>0.78125</v>
      </c>
      <c r="D12" s="98"/>
    </row>
    <row r="13" spans="1:4" x14ac:dyDescent="0.25">
      <c r="A13" s="101" t="s">
        <v>20</v>
      </c>
      <c r="B13" s="102">
        <v>2</v>
      </c>
      <c r="C13" s="103">
        <v>0.52083333333333326</v>
      </c>
      <c r="D13" s="98"/>
    </row>
    <row r="14" spans="1:4" x14ac:dyDescent="0.25">
      <c r="A14" s="101" t="s">
        <v>21</v>
      </c>
      <c r="B14" s="102">
        <v>1</v>
      </c>
      <c r="C14" s="103">
        <v>0.26041666666666663</v>
      </c>
      <c r="D14" s="98"/>
    </row>
    <row r="15" spans="1:4" x14ac:dyDescent="0.25">
      <c r="A15" s="101" t="s">
        <v>22</v>
      </c>
      <c r="B15" s="102">
        <v>2</v>
      </c>
      <c r="C15" s="103">
        <v>0.52083333333333326</v>
      </c>
      <c r="D15" s="98"/>
    </row>
    <row r="16" spans="1:4" x14ac:dyDescent="0.25">
      <c r="A16" s="101" t="s">
        <v>23</v>
      </c>
      <c r="B16" s="102">
        <v>3</v>
      </c>
      <c r="C16" s="103">
        <v>0.78125</v>
      </c>
      <c r="D16" s="98"/>
    </row>
    <row r="17" spans="1:5" x14ac:dyDescent="0.25">
      <c r="A17" s="101" t="s">
        <v>24</v>
      </c>
      <c r="B17" s="102">
        <v>2</v>
      </c>
      <c r="C17" s="103">
        <v>0.52083333333333326</v>
      </c>
      <c r="D17" s="98"/>
    </row>
    <row r="18" spans="1:5" x14ac:dyDescent="0.25">
      <c r="A18" s="101" t="s">
        <v>25</v>
      </c>
      <c r="B18" s="102">
        <v>7</v>
      </c>
      <c r="C18" s="104">
        <v>1.8229166666666667</v>
      </c>
      <c r="D18" s="98"/>
    </row>
    <row r="19" spans="1:5" x14ac:dyDescent="0.25">
      <c r="A19" s="101" t="s">
        <v>26</v>
      </c>
      <c r="B19" s="102">
        <v>4</v>
      </c>
      <c r="C19" s="104">
        <v>1.0416666666666665</v>
      </c>
      <c r="D19" s="98"/>
    </row>
    <row r="20" spans="1:5" x14ac:dyDescent="0.25">
      <c r="A20" s="101" t="s">
        <v>27</v>
      </c>
      <c r="B20" s="102">
        <v>2</v>
      </c>
      <c r="C20" s="103">
        <v>0.52083333333333326</v>
      </c>
      <c r="D20" s="98"/>
    </row>
    <row r="21" spans="1:5" x14ac:dyDescent="0.25">
      <c r="A21" s="101" t="s">
        <v>28</v>
      </c>
      <c r="B21" s="102">
        <v>6</v>
      </c>
      <c r="C21" s="104">
        <v>1.5625</v>
      </c>
      <c r="D21" s="98"/>
    </row>
    <row r="22" spans="1:5" x14ac:dyDescent="0.25">
      <c r="A22" s="101" t="s">
        <v>29</v>
      </c>
      <c r="B22" s="102">
        <v>2</v>
      </c>
      <c r="C22" s="103">
        <v>0.52083333333333326</v>
      </c>
      <c r="D22" s="98"/>
    </row>
    <row r="23" spans="1:5" x14ac:dyDescent="0.25">
      <c r="A23" s="101" t="s">
        <v>30</v>
      </c>
      <c r="B23" s="102">
        <v>9</v>
      </c>
      <c r="C23" s="104">
        <v>2.34375</v>
      </c>
      <c r="D23" s="98"/>
    </row>
    <row r="24" spans="1:5" x14ac:dyDescent="0.25">
      <c r="A24" s="101" t="s">
        <v>31</v>
      </c>
      <c r="B24" s="102">
        <v>10</v>
      </c>
      <c r="C24" s="104">
        <v>2.604166666666667</v>
      </c>
      <c r="D24" s="98"/>
    </row>
    <row r="25" spans="1:5" x14ac:dyDescent="0.25">
      <c r="A25" s="101" t="s">
        <v>32</v>
      </c>
      <c r="B25" s="102">
        <v>8</v>
      </c>
      <c r="C25" s="104">
        <v>2.083333333333333</v>
      </c>
      <c r="D25" s="98"/>
    </row>
    <row r="26" spans="1:5" x14ac:dyDescent="0.25">
      <c r="A26" s="101" t="s">
        <v>33</v>
      </c>
      <c r="B26" s="102">
        <v>5</v>
      </c>
      <c r="C26" s="104">
        <v>1.3020833333333335</v>
      </c>
      <c r="D26" s="98"/>
    </row>
    <row r="27" spans="1:5" x14ac:dyDescent="0.25">
      <c r="A27" s="101" t="s">
        <v>34</v>
      </c>
      <c r="B27" s="102">
        <v>7</v>
      </c>
      <c r="C27" s="104">
        <v>1.8229166666666667</v>
      </c>
      <c r="D27" s="98"/>
    </row>
    <row r="28" spans="1:5" x14ac:dyDescent="0.25">
      <c r="A28" s="101" t="s">
        <v>35</v>
      </c>
      <c r="B28" s="102">
        <v>6</v>
      </c>
      <c r="C28" s="104">
        <v>1.5625</v>
      </c>
      <c r="D28" s="105">
        <f>SUM(B4:B28)</f>
        <v>94</v>
      </c>
      <c r="E28" s="2">
        <f>D28/B46</f>
        <v>0.24479166666666666</v>
      </c>
    </row>
    <row r="29" spans="1:5" x14ac:dyDescent="0.25">
      <c r="A29" s="101" t="s">
        <v>36</v>
      </c>
      <c r="B29" s="102">
        <v>16</v>
      </c>
      <c r="C29" s="104">
        <v>4.1666666666666661</v>
      </c>
      <c r="D29" s="105">
        <f>SUM(B29:B45)</f>
        <v>290</v>
      </c>
      <c r="E29" s="2">
        <f>D29/B46</f>
        <v>0.75520833333333337</v>
      </c>
    </row>
    <row r="30" spans="1:5" x14ac:dyDescent="0.25">
      <c r="A30" s="101" t="s">
        <v>37</v>
      </c>
      <c r="B30" s="102">
        <v>18</v>
      </c>
      <c r="C30" s="104">
        <v>4.6875</v>
      </c>
      <c r="D30" s="98"/>
    </row>
    <row r="31" spans="1:5" x14ac:dyDescent="0.25">
      <c r="A31" s="101" t="s">
        <v>38</v>
      </c>
      <c r="B31" s="102">
        <v>15</v>
      </c>
      <c r="C31" s="104">
        <v>3.90625</v>
      </c>
      <c r="D31" s="98"/>
    </row>
    <row r="32" spans="1:5" x14ac:dyDescent="0.25">
      <c r="A32" s="101" t="s">
        <v>39</v>
      </c>
      <c r="B32" s="102">
        <v>4</v>
      </c>
      <c r="C32" s="104">
        <v>1.0416666666666665</v>
      </c>
      <c r="D32" s="98"/>
    </row>
    <row r="33" spans="1:4" x14ac:dyDescent="0.25">
      <c r="A33" s="101" t="s">
        <v>40</v>
      </c>
      <c r="B33" s="102">
        <v>9</v>
      </c>
      <c r="C33" s="104">
        <v>2.34375</v>
      </c>
      <c r="D33" s="98"/>
    </row>
    <row r="34" spans="1:4" x14ac:dyDescent="0.25">
      <c r="A34" s="101" t="s">
        <v>41</v>
      </c>
      <c r="B34" s="102">
        <v>16</v>
      </c>
      <c r="C34" s="104">
        <v>4.1666666666666661</v>
      </c>
      <c r="D34" s="98"/>
    </row>
    <row r="35" spans="1:4" x14ac:dyDescent="0.25">
      <c r="A35" s="101" t="s">
        <v>42</v>
      </c>
      <c r="B35" s="102">
        <v>14</v>
      </c>
      <c r="C35" s="104">
        <v>3.6458333333333335</v>
      </c>
      <c r="D35" s="98"/>
    </row>
    <row r="36" spans="1:4" x14ac:dyDescent="0.25">
      <c r="A36" s="101" t="s">
        <v>43</v>
      </c>
      <c r="B36" s="102">
        <v>10</v>
      </c>
      <c r="C36" s="104">
        <v>2.604166666666667</v>
      </c>
      <c r="D36" s="98"/>
    </row>
    <row r="37" spans="1:4" x14ac:dyDescent="0.25">
      <c r="A37" s="101" t="s">
        <v>44</v>
      </c>
      <c r="B37" s="102">
        <v>12</v>
      </c>
      <c r="C37" s="104">
        <v>3.125</v>
      </c>
      <c r="D37" s="98"/>
    </row>
    <row r="38" spans="1:4" x14ac:dyDescent="0.25">
      <c r="A38" s="101" t="s">
        <v>45</v>
      </c>
      <c r="B38" s="102">
        <v>10</v>
      </c>
      <c r="C38" s="104">
        <v>2.604166666666667</v>
      </c>
      <c r="D38" s="98"/>
    </row>
    <row r="39" spans="1:4" x14ac:dyDescent="0.25">
      <c r="A39" s="101" t="s">
        <v>46</v>
      </c>
      <c r="B39" s="102">
        <v>17</v>
      </c>
      <c r="C39" s="104">
        <v>4.4270833333333339</v>
      </c>
      <c r="D39" s="98"/>
    </row>
    <row r="40" spans="1:4" x14ac:dyDescent="0.25">
      <c r="A40" s="101" t="s">
        <v>47</v>
      </c>
      <c r="B40" s="102">
        <v>20</v>
      </c>
      <c r="C40" s="104">
        <v>5.2083333333333339</v>
      </c>
      <c r="D40" s="98"/>
    </row>
    <row r="41" spans="1:4" x14ac:dyDescent="0.25">
      <c r="A41" s="101" t="s">
        <v>48</v>
      </c>
      <c r="B41" s="102">
        <v>19</v>
      </c>
      <c r="C41" s="104">
        <v>4.9479166666666661</v>
      </c>
      <c r="D41" s="98"/>
    </row>
    <row r="42" spans="1:4" x14ac:dyDescent="0.25">
      <c r="A42" s="101" t="s">
        <v>49</v>
      </c>
      <c r="B42" s="102">
        <v>21</v>
      </c>
      <c r="C42" s="104">
        <v>5.46875</v>
      </c>
      <c r="D42" s="98"/>
    </row>
    <row r="43" spans="1:4" x14ac:dyDescent="0.25">
      <c r="A43" s="101" t="s">
        <v>50</v>
      </c>
      <c r="B43" s="102">
        <v>30</v>
      </c>
      <c r="C43" s="104">
        <v>7.8125</v>
      </c>
      <c r="D43" s="98"/>
    </row>
    <row r="44" spans="1:4" x14ac:dyDescent="0.25">
      <c r="A44" s="101" t="s">
        <v>51</v>
      </c>
      <c r="B44" s="102">
        <v>33</v>
      </c>
      <c r="C44" s="104">
        <v>8.59375</v>
      </c>
      <c r="D44" s="98"/>
    </row>
    <row r="45" spans="1:4" x14ac:dyDescent="0.25">
      <c r="A45" s="101" t="s">
        <v>52</v>
      </c>
      <c r="B45" s="102">
        <v>26</v>
      </c>
      <c r="C45" s="104">
        <v>6.770833333333333</v>
      </c>
      <c r="D45" s="98"/>
    </row>
    <row r="46" spans="1:4" x14ac:dyDescent="0.25">
      <c r="A46" s="106" t="s">
        <v>53</v>
      </c>
      <c r="B46" s="102">
        <v>384</v>
      </c>
      <c r="C46" s="104">
        <v>100</v>
      </c>
      <c r="D46" s="98"/>
    </row>
  </sheetData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N33" sqref="N33"/>
    </sheetView>
  </sheetViews>
  <sheetFormatPr defaultRowHeight="15" x14ac:dyDescent="0.25"/>
  <cols>
    <col min="1" max="1" width="46.42578125" customWidth="1"/>
    <col min="6" max="6" width="46.28515625" customWidth="1"/>
  </cols>
  <sheetData>
    <row r="1" spans="1:9" x14ac:dyDescent="0.25">
      <c r="A1" t="s">
        <v>477</v>
      </c>
    </row>
    <row r="3" spans="1:9" x14ac:dyDescent="0.25">
      <c r="A3" s="4"/>
      <c r="B3" s="4" t="s">
        <v>81</v>
      </c>
      <c r="C3" s="4" t="s">
        <v>80</v>
      </c>
      <c r="D3" s="4" t="s">
        <v>53</v>
      </c>
      <c r="F3" s="4"/>
      <c r="G3" s="4" t="s">
        <v>81</v>
      </c>
      <c r="H3" s="4" t="s">
        <v>80</v>
      </c>
      <c r="I3" s="4" t="s">
        <v>53</v>
      </c>
    </row>
    <row r="4" spans="1:9" x14ac:dyDescent="0.25">
      <c r="A4" s="18" t="s">
        <v>478</v>
      </c>
      <c r="B4" s="4">
        <v>77</v>
      </c>
      <c r="C4" s="4">
        <v>148</v>
      </c>
      <c r="D4" s="4">
        <f>SUM(B4:C4)</f>
        <v>225</v>
      </c>
      <c r="F4" s="18" t="s">
        <v>478</v>
      </c>
      <c r="G4" s="5">
        <f>B4/225</f>
        <v>0.34222222222222221</v>
      </c>
      <c r="H4" s="5">
        <f t="shared" ref="H4:I4" si="0">C4/225</f>
        <v>0.65777777777777779</v>
      </c>
      <c r="I4" s="5">
        <f t="shared" si="0"/>
        <v>1</v>
      </c>
    </row>
    <row r="5" spans="1:9" x14ac:dyDescent="0.25">
      <c r="A5" s="18" t="s">
        <v>479</v>
      </c>
      <c r="B5" s="4">
        <v>29</v>
      </c>
      <c r="C5" s="4">
        <v>198</v>
      </c>
      <c r="D5" s="4">
        <f t="shared" ref="D5:D7" si="1">SUM(B5:C5)</f>
        <v>227</v>
      </c>
      <c r="F5" s="18" t="s">
        <v>479</v>
      </c>
      <c r="G5" s="5">
        <f>B5/227</f>
        <v>0.1277533039647577</v>
      </c>
      <c r="H5" s="5">
        <f t="shared" ref="H5:I7" si="2">C5/227</f>
        <v>0.8722466960352423</v>
      </c>
      <c r="I5" s="5">
        <f t="shared" si="2"/>
        <v>1</v>
      </c>
    </row>
    <row r="6" spans="1:9" ht="30" x14ac:dyDescent="0.25">
      <c r="A6" s="18" t="s">
        <v>480</v>
      </c>
      <c r="B6" s="4">
        <v>21</v>
      </c>
      <c r="C6" s="4">
        <v>206</v>
      </c>
      <c r="D6" s="4">
        <f t="shared" si="1"/>
        <v>227</v>
      </c>
      <c r="F6" s="18" t="s">
        <v>480</v>
      </c>
      <c r="G6" s="5">
        <f>B6/227</f>
        <v>9.2511013215859028E-2</v>
      </c>
      <c r="H6" s="5">
        <f t="shared" si="2"/>
        <v>0.90748898678414092</v>
      </c>
      <c r="I6" s="5">
        <f t="shared" si="2"/>
        <v>1</v>
      </c>
    </row>
    <row r="7" spans="1:9" ht="30" x14ac:dyDescent="0.25">
      <c r="A7" s="18" t="s">
        <v>481</v>
      </c>
      <c r="B7" s="4">
        <v>73</v>
      </c>
      <c r="C7" s="4">
        <v>154</v>
      </c>
      <c r="D7" s="4">
        <f t="shared" si="1"/>
        <v>227</v>
      </c>
      <c r="F7" s="18" t="s">
        <v>481</v>
      </c>
      <c r="G7" s="5">
        <f>B7/227</f>
        <v>0.32158590308370044</v>
      </c>
      <c r="H7" s="5">
        <f t="shared" si="2"/>
        <v>0.67841409691629961</v>
      </c>
      <c r="I7" s="5">
        <f t="shared" si="2"/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O32" sqref="O32"/>
    </sheetView>
  </sheetViews>
  <sheetFormatPr defaultRowHeight="15" x14ac:dyDescent="0.25"/>
  <cols>
    <col min="1" max="1" width="31.7109375" bestFit="1" customWidth="1"/>
    <col min="2" max="2" width="11" customWidth="1"/>
    <col min="3" max="3" width="11.7109375" customWidth="1"/>
    <col min="5" max="5" width="11.42578125" customWidth="1"/>
    <col min="6" max="6" width="11" customWidth="1"/>
    <col min="9" max="9" width="37" customWidth="1"/>
    <col min="10" max="10" width="10.85546875" customWidth="1"/>
    <col min="11" max="11" width="9.42578125" customWidth="1"/>
    <col min="13" max="13" width="10" customWidth="1"/>
    <col min="14" max="14" width="10.42578125" customWidth="1"/>
  </cols>
  <sheetData>
    <row r="1" spans="1:15" x14ac:dyDescent="0.25">
      <c r="A1" t="s">
        <v>492</v>
      </c>
    </row>
    <row r="3" spans="1:15" s="20" customFormat="1" ht="30" x14ac:dyDescent="0.25">
      <c r="A3" s="18"/>
      <c r="B3" s="18" t="s">
        <v>495</v>
      </c>
      <c r="C3" s="18" t="s">
        <v>496</v>
      </c>
      <c r="D3" s="18" t="s">
        <v>497</v>
      </c>
      <c r="E3" s="18" t="s">
        <v>498</v>
      </c>
      <c r="F3" s="18" t="s">
        <v>499</v>
      </c>
      <c r="G3" s="18" t="s">
        <v>53</v>
      </c>
      <c r="I3" s="18"/>
      <c r="J3" s="18" t="s">
        <v>495</v>
      </c>
      <c r="K3" s="18" t="s">
        <v>496</v>
      </c>
      <c r="L3" s="18" t="s">
        <v>497</v>
      </c>
      <c r="M3" s="18" t="s">
        <v>498</v>
      </c>
      <c r="N3" s="18" t="s">
        <v>499</v>
      </c>
      <c r="O3" s="18" t="s">
        <v>53</v>
      </c>
    </row>
    <row r="4" spans="1:15" x14ac:dyDescent="0.25">
      <c r="A4" s="4" t="s">
        <v>493</v>
      </c>
      <c r="B4" s="4">
        <v>117</v>
      </c>
      <c r="C4" s="4">
        <v>74</v>
      </c>
      <c r="D4" s="4">
        <v>24</v>
      </c>
      <c r="E4" s="4">
        <v>8</v>
      </c>
      <c r="F4" s="4">
        <v>5</v>
      </c>
      <c r="G4" s="4">
        <f>SUM(B4:F4)</f>
        <v>228</v>
      </c>
      <c r="I4" s="4" t="s">
        <v>493</v>
      </c>
      <c r="J4" s="5">
        <f>B4/228</f>
        <v>0.51315789473684215</v>
      </c>
      <c r="K4" s="5">
        <f t="shared" ref="K4:O5" si="0">C4/228</f>
        <v>0.32456140350877194</v>
      </c>
      <c r="L4" s="5">
        <f t="shared" si="0"/>
        <v>0.10526315789473684</v>
      </c>
      <c r="M4" s="5">
        <f t="shared" si="0"/>
        <v>3.5087719298245612E-2</v>
      </c>
      <c r="N4" s="5">
        <f t="shared" si="0"/>
        <v>2.1929824561403508E-2</v>
      </c>
      <c r="O4" s="5">
        <f t="shared" si="0"/>
        <v>1</v>
      </c>
    </row>
    <row r="5" spans="1:15" x14ac:dyDescent="0.25">
      <c r="A5" s="4" t="s">
        <v>494</v>
      </c>
      <c r="B5" s="4">
        <v>146</v>
      </c>
      <c r="C5" s="4">
        <v>66</v>
      </c>
      <c r="D5" s="4">
        <v>11</v>
      </c>
      <c r="E5" s="4">
        <v>5</v>
      </c>
      <c r="F5" s="4">
        <v>0</v>
      </c>
      <c r="G5" s="4">
        <f>SUM(B5:F5)</f>
        <v>228</v>
      </c>
      <c r="I5" s="4" t="s">
        <v>494</v>
      </c>
      <c r="J5" s="5">
        <f>B5/228</f>
        <v>0.64035087719298245</v>
      </c>
      <c r="K5" s="5">
        <f t="shared" si="0"/>
        <v>0.28947368421052633</v>
      </c>
      <c r="L5" s="5">
        <f t="shared" si="0"/>
        <v>4.8245614035087717E-2</v>
      </c>
      <c r="M5" s="5">
        <f t="shared" si="0"/>
        <v>2.1929824561403508E-2</v>
      </c>
      <c r="N5" s="5">
        <f t="shared" si="0"/>
        <v>0</v>
      </c>
      <c r="O5" s="5">
        <f t="shared" si="0"/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P30" sqref="P30"/>
    </sheetView>
  </sheetViews>
  <sheetFormatPr defaultRowHeight="15" x14ac:dyDescent="0.25"/>
  <cols>
    <col min="1" max="1" width="37.85546875" customWidth="1"/>
    <col min="6" max="6" width="36.140625" customWidth="1"/>
  </cols>
  <sheetData>
    <row r="1" spans="1:9" x14ac:dyDescent="0.25">
      <c r="A1" t="s">
        <v>644</v>
      </c>
    </row>
    <row r="3" spans="1:9" ht="30" x14ac:dyDescent="0.25">
      <c r="A3" s="4"/>
      <c r="B3" s="4" t="s">
        <v>105</v>
      </c>
      <c r="C3" s="18" t="s">
        <v>106</v>
      </c>
      <c r="D3" s="4" t="s">
        <v>53</v>
      </c>
      <c r="F3" s="4"/>
      <c r="G3" s="4" t="s">
        <v>105</v>
      </c>
      <c r="H3" s="18" t="s">
        <v>106</v>
      </c>
      <c r="I3" s="4" t="s">
        <v>53</v>
      </c>
    </row>
    <row r="4" spans="1:9" x14ac:dyDescent="0.25">
      <c r="A4" s="4" t="s">
        <v>645</v>
      </c>
      <c r="B4" s="4">
        <v>13</v>
      </c>
      <c r="C4" s="4">
        <v>394</v>
      </c>
      <c r="D4" s="4">
        <f>SUM(B4:C4)</f>
        <v>407</v>
      </c>
      <c r="F4" s="4" t="s">
        <v>645</v>
      </c>
      <c r="G4" s="5">
        <f t="shared" ref="G4:G10" si="0">B4/407</f>
        <v>3.1941031941031942E-2</v>
      </c>
      <c r="H4" s="5">
        <f t="shared" ref="H4:I10" si="1">C4/407</f>
        <v>0.96805896805896807</v>
      </c>
      <c r="I4" s="5">
        <f t="shared" si="1"/>
        <v>1</v>
      </c>
    </row>
    <row r="5" spans="1:9" x14ac:dyDescent="0.25">
      <c r="A5" s="4" t="s">
        <v>646</v>
      </c>
      <c r="B5" s="4">
        <v>5</v>
      </c>
      <c r="C5" s="4">
        <v>402</v>
      </c>
      <c r="D5" s="4">
        <f t="shared" ref="D5:D10" si="2">SUM(B5:C5)</f>
        <v>407</v>
      </c>
      <c r="F5" s="4" t="s">
        <v>646</v>
      </c>
      <c r="G5" s="5">
        <f t="shared" si="0"/>
        <v>1.2285012285012284E-2</v>
      </c>
      <c r="H5" s="5">
        <f t="shared" si="1"/>
        <v>0.98771498771498767</v>
      </c>
      <c r="I5" s="5">
        <f t="shared" si="1"/>
        <v>1</v>
      </c>
    </row>
    <row r="6" spans="1:9" x14ac:dyDescent="0.25">
      <c r="A6" s="4" t="s">
        <v>647</v>
      </c>
      <c r="B6" s="4">
        <v>0</v>
      </c>
      <c r="C6" s="4">
        <v>407</v>
      </c>
      <c r="D6" s="4">
        <f t="shared" si="2"/>
        <v>407</v>
      </c>
      <c r="F6" s="4" t="s">
        <v>647</v>
      </c>
      <c r="G6" s="5">
        <f t="shared" si="0"/>
        <v>0</v>
      </c>
      <c r="H6" s="5">
        <f t="shared" si="1"/>
        <v>1</v>
      </c>
      <c r="I6" s="5">
        <f t="shared" si="1"/>
        <v>1</v>
      </c>
    </row>
    <row r="7" spans="1:9" x14ac:dyDescent="0.25">
      <c r="A7" s="4" t="s">
        <v>648</v>
      </c>
      <c r="B7" s="4">
        <v>0</v>
      </c>
      <c r="C7" s="4">
        <v>407</v>
      </c>
      <c r="D7" s="4">
        <f t="shared" si="2"/>
        <v>407</v>
      </c>
      <c r="F7" s="4" t="s">
        <v>648</v>
      </c>
      <c r="G7" s="5">
        <f t="shared" si="0"/>
        <v>0</v>
      </c>
      <c r="H7" s="5">
        <f t="shared" si="1"/>
        <v>1</v>
      </c>
      <c r="I7" s="5">
        <f t="shared" si="1"/>
        <v>1</v>
      </c>
    </row>
    <row r="8" spans="1:9" x14ac:dyDescent="0.25">
      <c r="A8" s="4" t="s">
        <v>649</v>
      </c>
      <c r="B8" s="4">
        <v>0</v>
      </c>
      <c r="C8" s="4">
        <v>407</v>
      </c>
      <c r="D8" s="4">
        <f t="shared" si="2"/>
        <v>407</v>
      </c>
      <c r="F8" s="4" t="s">
        <v>649</v>
      </c>
      <c r="G8" s="5">
        <f t="shared" si="0"/>
        <v>0</v>
      </c>
      <c r="H8" s="5">
        <f t="shared" si="1"/>
        <v>1</v>
      </c>
      <c r="I8" s="5">
        <f t="shared" si="1"/>
        <v>1</v>
      </c>
    </row>
    <row r="9" spans="1:9" x14ac:dyDescent="0.25">
      <c r="A9" s="4" t="s">
        <v>141</v>
      </c>
      <c r="B9" s="4">
        <v>26</v>
      </c>
      <c r="C9" s="4">
        <v>381</v>
      </c>
      <c r="D9" s="4">
        <f t="shared" si="2"/>
        <v>407</v>
      </c>
      <c r="F9" s="4" t="s">
        <v>141</v>
      </c>
      <c r="G9" s="5">
        <f t="shared" si="0"/>
        <v>6.3882063882063883E-2</v>
      </c>
      <c r="H9" s="5">
        <f t="shared" si="1"/>
        <v>0.93611793611793614</v>
      </c>
      <c r="I9" s="5">
        <f t="shared" si="1"/>
        <v>1</v>
      </c>
    </row>
    <row r="10" spans="1:9" x14ac:dyDescent="0.25">
      <c r="A10" s="4" t="s">
        <v>468</v>
      </c>
      <c r="B10" s="4">
        <v>175</v>
      </c>
      <c r="C10" s="4">
        <v>232</v>
      </c>
      <c r="D10" s="4">
        <f t="shared" si="2"/>
        <v>407</v>
      </c>
      <c r="F10" s="4" t="s">
        <v>468</v>
      </c>
      <c r="G10" s="5">
        <f t="shared" si="0"/>
        <v>0.42997542997542998</v>
      </c>
      <c r="H10" s="5">
        <f t="shared" si="1"/>
        <v>0.57002457002457008</v>
      </c>
      <c r="I10" s="5">
        <f t="shared" si="1"/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Q12" sqref="Q12"/>
    </sheetView>
  </sheetViews>
  <sheetFormatPr defaultRowHeight="15" x14ac:dyDescent="0.25"/>
  <cols>
    <col min="1" max="1" width="49.140625" customWidth="1"/>
    <col min="2" max="2" width="12.85546875" customWidth="1"/>
    <col min="3" max="3" width="12.7109375" customWidth="1"/>
    <col min="5" max="5" width="11.7109375" customWidth="1"/>
    <col min="6" max="6" width="11.28515625" customWidth="1"/>
    <col min="9" max="9" width="53.5703125" customWidth="1"/>
    <col min="10" max="10" width="12.42578125" customWidth="1"/>
    <col min="11" max="11" width="10.28515625" customWidth="1"/>
    <col min="13" max="13" width="10.7109375" customWidth="1"/>
    <col min="14" max="14" width="11.28515625" customWidth="1"/>
  </cols>
  <sheetData>
    <row r="1" spans="1:15" x14ac:dyDescent="0.25">
      <c r="A1" s="3" t="s">
        <v>652</v>
      </c>
    </row>
    <row r="3" spans="1:15" s="20" customFormat="1" ht="30" x14ac:dyDescent="0.25">
      <c r="A3" s="18"/>
      <c r="B3" s="18" t="s">
        <v>659</v>
      </c>
      <c r="C3" s="18" t="s">
        <v>660</v>
      </c>
      <c r="D3" s="18" t="s">
        <v>661</v>
      </c>
      <c r="E3" s="18" t="s">
        <v>662</v>
      </c>
      <c r="F3" s="18" t="s">
        <v>663</v>
      </c>
      <c r="G3" s="18" t="s">
        <v>53</v>
      </c>
      <c r="I3" s="18"/>
      <c r="J3" s="19" t="s">
        <v>659</v>
      </c>
      <c r="K3" s="19" t="s">
        <v>660</v>
      </c>
      <c r="L3" s="19" t="s">
        <v>661</v>
      </c>
      <c r="M3" s="19" t="s">
        <v>662</v>
      </c>
      <c r="N3" s="19" t="s">
        <v>663</v>
      </c>
      <c r="O3" s="18" t="s">
        <v>53</v>
      </c>
    </row>
    <row r="4" spans="1:15" x14ac:dyDescent="0.25">
      <c r="A4" s="18" t="s">
        <v>653</v>
      </c>
      <c r="B4" s="4">
        <v>101</v>
      </c>
      <c r="C4" s="4">
        <v>72</v>
      </c>
      <c r="D4" s="4">
        <v>34</v>
      </c>
      <c r="E4" s="4">
        <v>2</v>
      </c>
      <c r="F4" s="4">
        <v>2</v>
      </c>
      <c r="G4" s="4">
        <f>SUM(B4:F4)</f>
        <v>211</v>
      </c>
      <c r="I4" s="18" t="s">
        <v>653</v>
      </c>
      <c r="J4" s="5">
        <f>B4/211</f>
        <v>0.47867298578199052</v>
      </c>
      <c r="K4" s="5">
        <f t="shared" ref="K4:O4" si="0">C4/211</f>
        <v>0.34123222748815168</v>
      </c>
      <c r="L4" s="5">
        <f t="shared" si="0"/>
        <v>0.16113744075829384</v>
      </c>
      <c r="M4" s="5">
        <f t="shared" si="0"/>
        <v>9.4786729857819912E-3</v>
      </c>
      <c r="N4" s="5">
        <f t="shared" si="0"/>
        <v>9.4786729857819912E-3</v>
      </c>
      <c r="O4" s="5">
        <f t="shared" si="0"/>
        <v>1</v>
      </c>
    </row>
    <row r="5" spans="1:15" ht="30" x14ac:dyDescent="0.25">
      <c r="A5" s="18" t="s">
        <v>654</v>
      </c>
      <c r="B5" s="4">
        <v>47</v>
      </c>
      <c r="C5" s="4">
        <v>90</v>
      </c>
      <c r="D5" s="4">
        <v>66</v>
      </c>
      <c r="E5" s="4">
        <v>3</v>
      </c>
      <c r="F5" s="4">
        <v>3</v>
      </c>
      <c r="G5" s="4">
        <f t="shared" ref="G5:G9" si="1">SUM(B5:F5)</f>
        <v>209</v>
      </c>
      <c r="I5" s="18" t="s">
        <v>654</v>
      </c>
      <c r="J5" s="5">
        <f>B5/209</f>
        <v>0.22488038277511962</v>
      </c>
      <c r="K5" s="5">
        <f t="shared" ref="K5:O5" si="2">C5/209</f>
        <v>0.43062200956937802</v>
      </c>
      <c r="L5" s="5">
        <f t="shared" si="2"/>
        <v>0.31578947368421051</v>
      </c>
      <c r="M5" s="5">
        <f t="shared" si="2"/>
        <v>1.4354066985645933E-2</v>
      </c>
      <c r="N5" s="5">
        <f t="shared" si="2"/>
        <v>1.4354066985645933E-2</v>
      </c>
      <c r="O5" s="5">
        <f t="shared" si="2"/>
        <v>1</v>
      </c>
    </row>
    <row r="6" spans="1:15" ht="45" x14ac:dyDescent="0.25">
      <c r="A6" s="18" t="s">
        <v>655</v>
      </c>
      <c r="B6" s="4">
        <v>76</v>
      </c>
      <c r="C6" s="4">
        <v>85</v>
      </c>
      <c r="D6" s="4">
        <v>45</v>
      </c>
      <c r="E6" s="4">
        <v>2</v>
      </c>
      <c r="F6" s="4">
        <v>2</v>
      </c>
      <c r="G6" s="4">
        <f t="shared" si="1"/>
        <v>210</v>
      </c>
      <c r="I6" s="18" t="s">
        <v>655</v>
      </c>
      <c r="J6" s="5">
        <f>B6/210</f>
        <v>0.3619047619047619</v>
      </c>
      <c r="K6" s="5">
        <f t="shared" ref="K6:O6" si="3">C6/210</f>
        <v>0.40476190476190477</v>
      </c>
      <c r="L6" s="5">
        <f t="shared" si="3"/>
        <v>0.21428571428571427</v>
      </c>
      <c r="M6" s="5">
        <f t="shared" si="3"/>
        <v>9.5238095238095247E-3</v>
      </c>
      <c r="N6" s="5">
        <f t="shared" si="3"/>
        <v>9.5238095238095247E-3</v>
      </c>
      <c r="O6" s="5">
        <f t="shared" si="3"/>
        <v>1</v>
      </c>
    </row>
    <row r="7" spans="1:15" x14ac:dyDescent="0.25">
      <c r="A7" s="18" t="s">
        <v>656</v>
      </c>
      <c r="B7" s="4">
        <v>96</v>
      </c>
      <c r="C7" s="4">
        <v>76</v>
      </c>
      <c r="D7" s="4">
        <v>34</v>
      </c>
      <c r="E7" s="4">
        <v>1</v>
      </c>
      <c r="F7" s="4">
        <v>2</v>
      </c>
      <c r="G7" s="4">
        <f t="shared" si="1"/>
        <v>209</v>
      </c>
      <c r="I7" s="18" t="s">
        <v>656</v>
      </c>
      <c r="J7" s="5">
        <f>B7/209</f>
        <v>0.45933014354066987</v>
      </c>
      <c r="K7" s="5">
        <f t="shared" ref="K7:O9" si="4">C7/209</f>
        <v>0.36363636363636365</v>
      </c>
      <c r="L7" s="5">
        <f t="shared" si="4"/>
        <v>0.16267942583732056</v>
      </c>
      <c r="M7" s="5">
        <f t="shared" si="4"/>
        <v>4.7846889952153108E-3</v>
      </c>
      <c r="N7" s="5">
        <f t="shared" si="4"/>
        <v>9.5693779904306216E-3</v>
      </c>
      <c r="O7" s="5">
        <f t="shared" si="4"/>
        <v>1</v>
      </c>
    </row>
    <row r="8" spans="1:15" x14ac:dyDescent="0.25">
      <c r="A8" s="18" t="s">
        <v>657</v>
      </c>
      <c r="B8" s="4">
        <v>51</v>
      </c>
      <c r="C8" s="4">
        <v>80</v>
      </c>
      <c r="D8" s="4">
        <v>63</v>
      </c>
      <c r="E8" s="4">
        <v>10</v>
      </c>
      <c r="F8" s="4">
        <v>5</v>
      </c>
      <c r="G8" s="4">
        <f t="shared" si="1"/>
        <v>209</v>
      </c>
      <c r="I8" s="18" t="s">
        <v>657</v>
      </c>
      <c r="J8" s="5">
        <f>B8/209</f>
        <v>0.24401913875598086</v>
      </c>
      <c r="K8" s="5">
        <f t="shared" si="4"/>
        <v>0.38277511961722488</v>
      </c>
      <c r="L8" s="5">
        <f t="shared" si="4"/>
        <v>0.30143540669856461</v>
      </c>
      <c r="M8" s="5">
        <f t="shared" si="4"/>
        <v>4.784688995215311E-2</v>
      </c>
      <c r="N8" s="5">
        <f t="shared" si="4"/>
        <v>2.3923444976076555E-2</v>
      </c>
      <c r="O8" s="5">
        <f t="shared" si="4"/>
        <v>1</v>
      </c>
    </row>
    <row r="9" spans="1:15" ht="30" x14ac:dyDescent="0.25">
      <c r="A9" s="18" t="s">
        <v>658</v>
      </c>
      <c r="B9" s="4">
        <v>30</v>
      </c>
      <c r="C9" s="4">
        <v>59</v>
      </c>
      <c r="D9" s="4">
        <v>81</v>
      </c>
      <c r="E9" s="4">
        <v>29</v>
      </c>
      <c r="F9" s="4">
        <v>10</v>
      </c>
      <c r="G9" s="4">
        <f t="shared" si="1"/>
        <v>209</v>
      </c>
      <c r="I9" s="18" t="s">
        <v>658</v>
      </c>
      <c r="J9" s="5">
        <f>B9/209</f>
        <v>0.14354066985645933</v>
      </c>
      <c r="K9" s="5">
        <f t="shared" si="4"/>
        <v>0.28229665071770332</v>
      </c>
      <c r="L9" s="5">
        <f t="shared" si="4"/>
        <v>0.38755980861244022</v>
      </c>
      <c r="M9" s="5">
        <f t="shared" si="4"/>
        <v>0.13875598086124402</v>
      </c>
      <c r="N9" s="5">
        <f t="shared" si="4"/>
        <v>4.784688995215311E-2</v>
      </c>
      <c r="O9" s="5">
        <f t="shared" si="4"/>
        <v>1</v>
      </c>
    </row>
    <row r="13" spans="1:15" x14ac:dyDescent="0.25">
      <c r="A13" s="3" t="s">
        <v>676</v>
      </c>
    </row>
    <row r="15" spans="1:15" ht="45" x14ac:dyDescent="0.25">
      <c r="A15" s="18"/>
      <c r="B15" s="18" t="s">
        <v>178</v>
      </c>
      <c r="C15" s="18" t="s">
        <v>179</v>
      </c>
      <c r="D15" s="18" t="s">
        <v>679</v>
      </c>
      <c r="E15" s="18" t="s">
        <v>181</v>
      </c>
      <c r="F15" s="18" t="s">
        <v>240</v>
      </c>
      <c r="G15" s="18" t="s">
        <v>53</v>
      </c>
      <c r="I15" s="18"/>
      <c r="J15" s="18" t="s">
        <v>178</v>
      </c>
      <c r="K15" s="18" t="s">
        <v>179</v>
      </c>
      <c r="L15" s="18" t="s">
        <v>679</v>
      </c>
      <c r="M15" s="18" t="s">
        <v>181</v>
      </c>
      <c r="N15" s="18" t="s">
        <v>240</v>
      </c>
      <c r="O15" s="18" t="s">
        <v>53</v>
      </c>
    </row>
    <row r="16" spans="1:15" x14ac:dyDescent="0.25">
      <c r="A16" s="4" t="s">
        <v>677</v>
      </c>
      <c r="B16" s="4">
        <v>25</v>
      </c>
      <c r="C16" s="4">
        <v>41</v>
      </c>
      <c r="D16" s="4">
        <v>49</v>
      </c>
      <c r="E16" s="4">
        <v>14</v>
      </c>
      <c r="F16" s="4">
        <v>1</v>
      </c>
      <c r="G16" s="4">
        <f>SUM(B16:F16)</f>
        <v>130</v>
      </c>
      <c r="I16" s="4" t="s">
        <v>677</v>
      </c>
      <c r="J16" s="5">
        <f>B16/130</f>
        <v>0.19230769230769232</v>
      </c>
      <c r="K16" s="5">
        <f t="shared" ref="K16:O16" si="5">C16/130</f>
        <v>0.31538461538461537</v>
      </c>
      <c r="L16" s="5">
        <f t="shared" si="5"/>
        <v>0.37692307692307692</v>
      </c>
      <c r="M16" s="5">
        <f t="shared" si="5"/>
        <v>0.1076923076923077</v>
      </c>
      <c r="N16" s="5">
        <f t="shared" si="5"/>
        <v>7.6923076923076927E-3</v>
      </c>
      <c r="O16" s="5">
        <f t="shared" si="5"/>
        <v>1</v>
      </c>
    </row>
    <row r="17" spans="1:15" x14ac:dyDescent="0.25">
      <c r="A17" s="4" t="s">
        <v>678</v>
      </c>
      <c r="B17" s="4">
        <v>33</v>
      </c>
      <c r="C17" s="4">
        <v>35</v>
      </c>
      <c r="D17" s="4">
        <v>32</v>
      </c>
      <c r="E17" s="4">
        <v>18</v>
      </c>
      <c r="F17" s="4">
        <v>11</v>
      </c>
      <c r="G17" s="4">
        <f>SUM(B17:F17)</f>
        <v>129</v>
      </c>
      <c r="I17" s="4" t="s">
        <v>678</v>
      </c>
      <c r="J17" s="5">
        <f>B17/129</f>
        <v>0.2558139534883721</v>
      </c>
      <c r="K17" s="5">
        <f t="shared" ref="K17:O17" si="6">C17/129</f>
        <v>0.27131782945736432</v>
      </c>
      <c r="L17" s="5">
        <f t="shared" si="6"/>
        <v>0.24806201550387597</v>
      </c>
      <c r="M17" s="5">
        <f t="shared" si="6"/>
        <v>0.13953488372093023</v>
      </c>
      <c r="N17" s="5">
        <f t="shared" si="6"/>
        <v>8.5271317829457363E-2</v>
      </c>
      <c r="O17" s="5">
        <f t="shared" si="6"/>
        <v>1</v>
      </c>
    </row>
    <row r="20" spans="1:15" x14ac:dyDescent="0.25">
      <c r="A20" s="3" t="s">
        <v>680</v>
      </c>
    </row>
    <row r="22" spans="1:15" ht="30" x14ac:dyDescent="0.25">
      <c r="A22" s="4"/>
      <c r="B22" s="18" t="s">
        <v>178</v>
      </c>
      <c r="C22" s="18" t="s">
        <v>179</v>
      </c>
      <c r="D22" s="18" t="s">
        <v>180</v>
      </c>
      <c r="E22" s="18" t="s">
        <v>181</v>
      </c>
      <c r="F22" s="18" t="s">
        <v>182</v>
      </c>
      <c r="G22" s="4" t="s">
        <v>53</v>
      </c>
      <c r="I22" s="4"/>
      <c r="J22" s="18" t="s">
        <v>178</v>
      </c>
      <c r="K22" s="18" t="s">
        <v>179</v>
      </c>
      <c r="L22" s="18" t="s">
        <v>180</v>
      </c>
      <c r="M22" s="18" t="s">
        <v>181</v>
      </c>
      <c r="N22" s="18" t="s">
        <v>182</v>
      </c>
      <c r="O22" s="4" t="s">
        <v>53</v>
      </c>
    </row>
    <row r="23" spans="1:15" ht="30" x14ac:dyDescent="0.25">
      <c r="A23" s="18" t="s">
        <v>681</v>
      </c>
      <c r="B23" s="4">
        <v>32</v>
      </c>
      <c r="C23" s="4">
        <v>44</v>
      </c>
      <c r="D23" s="4">
        <v>43</v>
      </c>
      <c r="E23" s="4">
        <v>10</v>
      </c>
      <c r="F23" s="4">
        <v>2</v>
      </c>
      <c r="G23" s="4">
        <f>SUM(B23:F23)</f>
        <v>131</v>
      </c>
      <c r="I23" s="18" t="s">
        <v>681</v>
      </c>
      <c r="J23" s="5">
        <f>B23/131</f>
        <v>0.24427480916030533</v>
      </c>
      <c r="K23" s="5">
        <f t="shared" ref="K23:O23" si="7">C23/131</f>
        <v>0.33587786259541985</v>
      </c>
      <c r="L23" s="5">
        <f t="shared" si="7"/>
        <v>0.3282442748091603</v>
      </c>
      <c r="M23" s="5">
        <f t="shared" si="7"/>
        <v>7.6335877862595422E-2</v>
      </c>
      <c r="N23" s="5">
        <f t="shared" si="7"/>
        <v>1.5267175572519083E-2</v>
      </c>
      <c r="O23" s="5">
        <f t="shared" si="7"/>
        <v>1</v>
      </c>
    </row>
    <row r="24" spans="1:15" ht="30" x14ac:dyDescent="0.25">
      <c r="A24" s="18" t="s">
        <v>682</v>
      </c>
      <c r="B24" s="4">
        <v>45</v>
      </c>
      <c r="C24" s="4">
        <v>43</v>
      </c>
      <c r="D24" s="4">
        <v>29</v>
      </c>
      <c r="E24" s="4">
        <v>6</v>
      </c>
      <c r="F24" s="4">
        <v>5</v>
      </c>
      <c r="G24" s="4">
        <f>SUM(B24:F24)</f>
        <v>128</v>
      </c>
      <c r="I24" s="18" t="s">
        <v>682</v>
      </c>
      <c r="J24" s="5">
        <f>B24/128</f>
        <v>0.3515625</v>
      </c>
      <c r="K24" s="5">
        <f t="shared" ref="K24:O24" si="8">C24/128</f>
        <v>0.3359375</v>
      </c>
      <c r="L24" s="5">
        <f t="shared" si="8"/>
        <v>0.2265625</v>
      </c>
      <c r="M24" s="5">
        <f t="shared" si="8"/>
        <v>4.6875E-2</v>
      </c>
      <c r="N24" s="5">
        <f t="shared" si="8"/>
        <v>3.90625E-2</v>
      </c>
      <c r="O24" s="5">
        <f t="shared" si="8"/>
        <v>1</v>
      </c>
    </row>
    <row r="25" spans="1:15" ht="30" x14ac:dyDescent="0.25">
      <c r="A25" s="18" t="s">
        <v>683</v>
      </c>
      <c r="B25" s="4">
        <v>37</v>
      </c>
      <c r="C25" s="4">
        <v>45</v>
      </c>
      <c r="D25" s="4">
        <v>36</v>
      </c>
      <c r="E25" s="4">
        <v>7</v>
      </c>
      <c r="F25" s="4">
        <v>6</v>
      </c>
      <c r="G25" s="4">
        <f>SUM(B25:F25)</f>
        <v>131</v>
      </c>
      <c r="I25" s="18" t="s">
        <v>683</v>
      </c>
      <c r="J25" s="5">
        <f>B25/131</f>
        <v>0.28244274809160308</v>
      </c>
      <c r="K25" s="5">
        <f t="shared" ref="K25:O25" si="9">C25/131</f>
        <v>0.34351145038167941</v>
      </c>
      <c r="L25" s="5">
        <f t="shared" si="9"/>
        <v>0.27480916030534353</v>
      </c>
      <c r="M25" s="5">
        <f t="shared" si="9"/>
        <v>5.3435114503816793E-2</v>
      </c>
      <c r="N25" s="5">
        <f t="shared" si="9"/>
        <v>4.5801526717557252E-2</v>
      </c>
      <c r="O25" s="5">
        <f t="shared" si="9"/>
        <v>1</v>
      </c>
    </row>
    <row r="26" spans="1:15" ht="30" x14ac:dyDescent="0.25">
      <c r="A26" s="18" t="s">
        <v>684</v>
      </c>
      <c r="B26" s="4">
        <v>46</v>
      </c>
      <c r="C26" s="4">
        <v>50</v>
      </c>
      <c r="D26" s="4">
        <v>28</v>
      </c>
      <c r="E26" s="4">
        <v>5</v>
      </c>
      <c r="F26" s="4">
        <v>1</v>
      </c>
      <c r="G26" s="4">
        <f>SUM(B26:F26)</f>
        <v>130</v>
      </c>
      <c r="I26" s="18" t="s">
        <v>684</v>
      </c>
      <c r="J26" s="5">
        <f>B26/130</f>
        <v>0.35384615384615387</v>
      </c>
      <c r="K26" s="5">
        <f t="shared" ref="K26:O26" si="10">C26/130</f>
        <v>0.38461538461538464</v>
      </c>
      <c r="L26" s="5">
        <f t="shared" si="10"/>
        <v>0.2153846153846154</v>
      </c>
      <c r="M26" s="5">
        <f t="shared" si="10"/>
        <v>3.8461538461538464E-2</v>
      </c>
      <c r="N26" s="5">
        <f t="shared" si="10"/>
        <v>7.6923076923076927E-3</v>
      </c>
      <c r="O26" s="5">
        <f t="shared" si="10"/>
        <v>1</v>
      </c>
    </row>
    <row r="29" spans="1:15" x14ac:dyDescent="0.25">
      <c r="A29" s="3" t="s">
        <v>687</v>
      </c>
    </row>
    <row r="31" spans="1:15" ht="30" x14ac:dyDescent="0.25">
      <c r="A31" s="4"/>
      <c r="B31" s="18" t="s">
        <v>178</v>
      </c>
      <c r="C31" s="18" t="s">
        <v>179</v>
      </c>
      <c r="D31" s="18" t="s">
        <v>180</v>
      </c>
      <c r="E31" s="18" t="s">
        <v>181</v>
      </c>
      <c r="F31" s="18" t="s">
        <v>182</v>
      </c>
      <c r="G31" s="4" t="s">
        <v>53</v>
      </c>
      <c r="I31" s="4"/>
      <c r="J31" s="18" t="s">
        <v>178</v>
      </c>
      <c r="K31" s="18" t="s">
        <v>179</v>
      </c>
      <c r="L31" s="18" t="s">
        <v>180</v>
      </c>
      <c r="M31" s="18" t="s">
        <v>181</v>
      </c>
      <c r="N31" s="18" t="s">
        <v>182</v>
      </c>
      <c r="O31" s="4" t="s">
        <v>53</v>
      </c>
    </row>
    <row r="32" spans="1:15" x14ac:dyDescent="0.25">
      <c r="A32" s="4" t="s">
        <v>688</v>
      </c>
      <c r="B32" s="4">
        <v>36</v>
      </c>
      <c r="C32" s="4">
        <v>36</v>
      </c>
      <c r="D32" s="4">
        <v>24</v>
      </c>
      <c r="E32" s="4">
        <v>10</v>
      </c>
      <c r="F32" s="4">
        <v>2</v>
      </c>
      <c r="G32" s="4">
        <f>SUM(B32:F32)</f>
        <v>108</v>
      </c>
      <c r="I32" s="4" t="s">
        <v>688</v>
      </c>
      <c r="J32" s="5">
        <f>B32/108</f>
        <v>0.33333333333333331</v>
      </c>
      <c r="K32" s="5">
        <f t="shared" ref="K32:O32" si="11">C32/108</f>
        <v>0.33333333333333331</v>
      </c>
      <c r="L32" s="5">
        <f t="shared" si="11"/>
        <v>0.22222222222222221</v>
      </c>
      <c r="M32" s="5">
        <f t="shared" si="11"/>
        <v>9.2592592592592587E-2</v>
      </c>
      <c r="N32" s="5">
        <f t="shared" si="11"/>
        <v>1.8518518518518517E-2</v>
      </c>
      <c r="O32" s="5">
        <f t="shared" si="11"/>
        <v>1</v>
      </c>
    </row>
    <row r="33" spans="1:15" x14ac:dyDescent="0.25">
      <c r="A33" s="4" t="s">
        <v>678</v>
      </c>
      <c r="B33" s="4">
        <v>48</v>
      </c>
      <c r="C33" s="4">
        <v>40</v>
      </c>
      <c r="D33" s="4">
        <v>15</v>
      </c>
      <c r="E33" s="4">
        <v>3</v>
      </c>
      <c r="F33" s="4">
        <v>1</v>
      </c>
      <c r="G33" s="4">
        <f>SUM(B33:F33)</f>
        <v>107</v>
      </c>
      <c r="I33" s="4" t="s">
        <v>678</v>
      </c>
      <c r="J33" s="5">
        <f>B33/107</f>
        <v>0.44859813084112149</v>
      </c>
      <c r="K33" s="5">
        <f t="shared" ref="K33:O33" si="12">C33/107</f>
        <v>0.37383177570093457</v>
      </c>
      <c r="L33" s="5">
        <f t="shared" si="12"/>
        <v>0.14018691588785046</v>
      </c>
      <c r="M33" s="5">
        <f t="shared" si="12"/>
        <v>2.8037383177570093E-2</v>
      </c>
      <c r="N33" s="5">
        <f t="shared" si="12"/>
        <v>9.3457943925233638E-3</v>
      </c>
      <c r="O33" s="5">
        <f t="shared" si="12"/>
        <v>1</v>
      </c>
    </row>
    <row r="36" spans="1:15" x14ac:dyDescent="0.25">
      <c r="A36" s="3" t="s">
        <v>689</v>
      </c>
    </row>
    <row r="38" spans="1:15" ht="30" x14ac:dyDescent="0.25">
      <c r="A38" s="4"/>
      <c r="B38" s="18" t="s">
        <v>178</v>
      </c>
      <c r="C38" s="18" t="s">
        <v>179</v>
      </c>
      <c r="D38" s="18" t="s">
        <v>180</v>
      </c>
      <c r="E38" s="18" t="s">
        <v>181</v>
      </c>
      <c r="F38" s="18" t="s">
        <v>182</v>
      </c>
      <c r="G38" s="4" t="s">
        <v>53</v>
      </c>
      <c r="I38" s="4"/>
      <c r="J38" s="18" t="s">
        <v>178</v>
      </c>
      <c r="K38" s="18" t="s">
        <v>179</v>
      </c>
      <c r="L38" s="18" t="s">
        <v>180</v>
      </c>
      <c r="M38" s="18" t="s">
        <v>181</v>
      </c>
      <c r="N38" s="18" t="s">
        <v>182</v>
      </c>
      <c r="O38" s="4" t="s">
        <v>53</v>
      </c>
    </row>
    <row r="39" spans="1:15" ht="30" x14ac:dyDescent="0.25">
      <c r="A39" s="18" t="s">
        <v>690</v>
      </c>
      <c r="B39" s="4">
        <v>36</v>
      </c>
      <c r="C39" s="4">
        <v>37</v>
      </c>
      <c r="D39" s="4">
        <v>23</v>
      </c>
      <c r="E39" s="4">
        <v>8</v>
      </c>
      <c r="F39" s="4">
        <v>4</v>
      </c>
      <c r="G39" s="4">
        <f>SUM(B39:F39)</f>
        <v>108</v>
      </c>
      <c r="I39" s="18" t="s">
        <v>690</v>
      </c>
      <c r="J39" s="5">
        <f>B39/108</f>
        <v>0.33333333333333331</v>
      </c>
      <c r="K39" s="5">
        <f t="shared" ref="K39:O40" si="13">C39/108</f>
        <v>0.34259259259259262</v>
      </c>
      <c r="L39" s="5">
        <f t="shared" si="13"/>
        <v>0.21296296296296297</v>
      </c>
      <c r="M39" s="5">
        <f t="shared" si="13"/>
        <v>7.407407407407407E-2</v>
      </c>
      <c r="N39" s="5">
        <f t="shared" si="13"/>
        <v>3.7037037037037035E-2</v>
      </c>
      <c r="O39" s="5">
        <f t="shared" si="13"/>
        <v>1</v>
      </c>
    </row>
    <row r="40" spans="1:15" x14ac:dyDescent="0.25">
      <c r="A40" s="18" t="s">
        <v>691</v>
      </c>
      <c r="B40" s="4">
        <v>43</v>
      </c>
      <c r="C40" s="4">
        <v>42</v>
      </c>
      <c r="D40" s="4">
        <v>16</v>
      </c>
      <c r="E40" s="4">
        <v>5</v>
      </c>
      <c r="F40" s="4">
        <v>2</v>
      </c>
      <c r="G40" s="4">
        <f t="shared" ref="G40:G42" si="14">SUM(B40:F40)</f>
        <v>108</v>
      </c>
      <c r="I40" s="18" t="s">
        <v>691</v>
      </c>
      <c r="J40" s="5">
        <f>B40/108</f>
        <v>0.39814814814814814</v>
      </c>
      <c r="K40" s="5">
        <f t="shared" si="13"/>
        <v>0.3888888888888889</v>
      </c>
      <c r="L40" s="5">
        <f t="shared" si="13"/>
        <v>0.14814814814814814</v>
      </c>
      <c r="M40" s="5">
        <f t="shared" si="13"/>
        <v>4.6296296296296294E-2</v>
      </c>
      <c r="N40" s="5">
        <f t="shared" si="13"/>
        <v>1.8518518518518517E-2</v>
      </c>
      <c r="O40" s="5">
        <f t="shared" si="13"/>
        <v>1</v>
      </c>
    </row>
    <row r="41" spans="1:15" ht="30" x14ac:dyDescent="0.25">
      <c r="A41" s="18" t="s">
        <v>692</v>
      </c>
      <c r="B41" s="4">
        <v>35</v>
      </c>
      <c r="C41" s="4">
        <v>43</v>
      </c>
      <c r="D41" s="4">
        <v>23</v>
      </c>
      <c r="E41" s="4">
        <v>5</v>
      </c>
      <c r="F41" s="4">
        <v>1</v>
      </c>
      <c r="G41" s="4">
        <f t="shared" si="14"/>
        <v>107</v>
      </c>
      <c r="I41" s="18" t="s">
        <v>692</v>
      </c>
      <c r="J41" s="5">
        <f>B41/107</f>
        <v>0.32710280373831774</v>
      </c>
      <c r="K41" s="5">
        <f t="shared" ref="K41:O42" si="15">C41/107</f>
        <v>0.40186915887850466</v>
      </c>
      <c r="L41" s="5">
        <f t="shared" si="15"/>
        <v>0.21495327102803738</v>
      </c>
      <c r="M41" s="5">
        <f t="shared" si="15"/>
        <v>4.6728971962616821E-2</v>
      </c>
      <c r="N41" s="5">
        <f t="shared" si="15"/>
        <v>9.3457943925233638E-3</v>
      </c>
      <c r="O41" s="5">
        <f t="shared" si="15"/>
        <v>1</v>
      </c>
    </row>
    <row r="42" spans="1:15" ht="30" x14ac:dyDescent="0.25">
      <c r="A42" s="52" t="s">
        <v>693</v>
      </c>
      <c r="B42" s="4">
        <v>41</v>
      </c>
      <c r="C42" s="4">
        <v>42</v>
      </c>
      <c r="D42" s="4">
        <v>17</v>
      </c>
      <c r="E42" s="4">
        <v>6</v>
      </c>
      <c r="F42" s="4">
        <v>1</v>
      </c>
      <c r="G42" s="4">
        <f t="shared" si="14"/>
        <v>107</v>
      </c>
      <c r="I42" s="52" t="s">
        <v>693</v>
      </c>
      <c r="J42" s="5">
        <f>B42/107</f>
        <v>0.38317757009345793</v>
      </c>
      <c r="K42" s="5">
        <f t="shared" si="15"/>
        <v>0.3925233644859813</v>
      </c>
      <c r="L42" s="5">
        <f t="shared" si="15"/>
        <v>0.15887850467289719</v>
      </c>
      <c r="M42" s="5">
        <f t="shared" si="15"/>
        <v>5.6074766355140186E-2</v>
      </c>
      <c r="N42" s="5">
        <f t="shared" si="15"/>
        <v>9.3457943925233638E-3</v>
      </c>
      <c r="O42" s="5">
        <f t="shared" si="15"/>
        <v>1</v>
      </c>
    </row>
    <row r="45" spans="1:15" x14ac:dyDescent="0.25">
      <c r="A45" s="3" t="s">
        <v>699</v>
      </c>
    </row>
    <row r="47" spans="1:15" ht="30" x14ac:dyDescent="0.25">
      <c r="A47" s="4"/>
      <c r="B47" s="18" t="s">
        <v>178</v>
      </c>
      <c r="C47" s="18" t="s">
        <v>179</v>
      </c>
      <c r="D47" s="18" t="s">
        <v>180</v>
      </c>
      <c r="E47" s="18" t="s">
        <v>181</v>
      </c>
      <c r="F47" s="18" t="s">
        <v>182</v>
      </c>
      <c r="G47" s="4" t="s">
        <v>53</v>
      </c>
      <c r="I47" s="4"/>
      <c r="J47" s="18" t="s">
        <v>178</v>
      </c>
      <c r="K47" s="18" t="s">
        <v>179</v>
      </c>
      <c r="L47" s="18" t="s">
        <v>180</v>
      </c>
      <c r="M47" s="18" t="s">
        <v>181</v>
      </c>
      <c r="N47" s="18" t="s">
        <v>182</v>
      </c>
      <c r="O47" s="4" t="s">
        <v>53</v>
      </c>
    </row>
    <row r="48" spans="1:15" x14ac:dyDescent="0.25">
      <c r="A48" s="4" t="s">
        <v>700</v>
      </c>
      <c r="B48" s="4">
        <v>8</v>
      </c>
      <c r="C48" s="4">
        <v>21</v>
      </c>
      <c r="D48" s="4">
        <v>37</v>
      </c>
      <c r="E48" s="4">
        <v>10</v>
      </c>
      <c r="F48" s="4">
        <v>7</v>
      </c>
      <c r="G48" s="4">
        <f>SUM(B48:F48)</f>
        <v>83</v>
      </c>
      <c r="I48" s="4" t="s">
        <v>700</v>
      </c>
      <c r="J48" s="5">
        <f>B48/83</f>
        <v>9.6385542168674704E-2</v>
      </c>
      <c r="K48" s="5">
        <f t="shared" ref="K48:O48" si="16">C48/83</f>
        <v>0.25301204819277107</v>
      </c>
      <c r="L48" s="5">
        <f t="shared" si="16"/>
        <v>0.44578313253012047</v>
      </c>
      <c r="M48" s="5">
        <f t="shared" si="16"/>
        <v>0.12048192771084337</v>
      </c>
      <c r="N48" s="5">
        <f t="shared" si="16"/>
        <v>8.4337349397590355E-2</v>
      </c>
      <c r="O48" s="5">
        <f t="shared" si="16"/>
        <v>1</v>
      </c>
    </row>
    <row r="49" spans="1:15" x14ac:dyDescent="0.25">
      <c r="A49" s="4" t="s">
        <v>701</v>
      </c>
      <c r="B49" s="4">
        <v>11</v>
      </c>
      <c r="C49" s="4">
        <v>26</v>
      </c>
      <c r="D49" s="4">
        <v>36</v>
      </c>
      <c r="E49" s="4">
        <v>8</v>
      </c>
      <c r="F49" s="4">
        <v>3</v>
      </c>
      <c r="G49" s="4">
        <f>SUM(B49:F49)</f>
        <v>84</v>
      </c>
      <c r="I49" s="4" t="s">
        <v>701</v>
      </c>
      <c r="J49" s="5">
        <f>B49/84</f>
        <v>0.13095238095238096</v>
      </c>
      <c r="K49" s="5">
        <f t="shared" ref="K49:O49" si="17">C49/84</f>
        <v>0.30952380952380953</v>
      </c>
      <c r="L49" s="5">
        <f t="shared" si="17"/>
        <v>0.42857142857142855</v>
      </c>
      <c r="M49" s="5">
        <f t="shared" si="17"/>
        <v>9.5238095238095233E-2</v>
      </c>
      <c r="N49" s="5">
        <f t="shared" si="17"/>
        <v>3.5714285714285712E-2</v>
      </c>
      <c r="O49" s="5">
        <f t="shared" si="17"/>
        <v>1</v>
      </c>
    </row>
    <row r="50" spans="1:15" x14ac:dyDescent="0.25">
      <c r="A50" s="4" t="s">
        <v>702</v>
      </c>
      <c r="B50" s="4">
        <v>23</v>
      </c>
      <c r="C50" s="4">
        <v>29</v>
      </c>
      <c r="D50" s="4">
        <v>23</v>
      </c>
      <c r="E50" s="4">
        <v>7</v>
      </c>
      <c r="F50" s="4">
        <v>3</v>
      </c>
      <c r="G50" s="4">
        <f>SUM(B50:F50)</f>
        <v>85</v>
      </c>
      <c r="I50" s="4" t="s">
        <v>702</v>
      </c>
      <c r="J50" s="5">
        <f>B50/85</f>
        <v>0.27058823529411763</v>
      </c>
      <c r="K50" s="5">
        <f t="shared" ref="K50:O50" si="18">C50/85</f>
        <v>0.3411764705882353</v>
      </c>
      <c r="L50" s="5">
        <f t="shared" si="18"/>
        <v>0.27058823529411763</v>
      </c>
      <c r="M50" s="5">
        <f t="shared" si="18"/>
        <v>8.2352941176470587E-2</v>
      </c>
      <c r="N50" s="5">
        <f t="shared" si="18"/>
        <v>3.5294117647058823E-2</v>
      </c>
      <c r="O50" s="5">
        <f t="shared" si="18"/>
        <v>1</v>
      </c>
    </row>
    <row r="53" spans="1:15" x14ac:dyDescent="0.25">
      <c r="A53" s="3" t="s">
        <v>703</v>
      </c>
    </row>
    <row r="55" spans="1:15" ht="30" x14ac:dyDescent="0.25">
      <c r="A55" s="4"/>
      <c r="B55" s="18" t="s">
        <v>178</v>
      </c>
      <c r="C55" s="18" t="s">
        <v>179</v>
      </c>
      <c r="D55" s="18" t="s">
        <v>180</v>
      </c>
      <c r="E55" s="18" t="s">
        <v>181</v>
      </c>
      <c r="F55" s="18" t="s">
        <v>182</v>
      </c>
      <c r="G55" s="4" t="s">
        <v>53</v>
      </c>
      <c r="I55" s="4"/>
      <c r="J55" s="18" t="s">
        <v>178</v>
      </c>
      <c r="K55" s="18" t="s">
        <v>179</v>
      </c>
      <c r="L55" s="18" t="s">
        <v>180</v>
      </c>
      <c r="M55" s="18" t="s">
        <v>181</v>
      </c>
      <c r="N55" s="18" t="s">
        <v>182</v>
      </c>
      <c r="O55" s="4" t="s">
        <v>53</v>
      </c>
    </row>
    <row r="56" spans="1:15" x14ac:dyDescent="0.25">
      <c r="A56" s="4" t="s">
        <v>704</v>
      </c>
      <c r="B56" s="4">
        <v>23</v>
      </c>
      <c r="C56" s="4">
        <v>34</v>
      </c>
      <c r="D56" s="4">
        <v>21</v>
      </c>
      <c r="E56" s="4">
        <v>5</v>
      </c>
      <c r="F56" s="4">
        <v>0</v>
      </c>
      <c r="G56" s="4">
        <f>SUM(B56:F56)</f>
        <v>83</v>
      </c>
      <c r="I56" s="4" t="s">
        <v>704</v>
      </c>
      <c r="J56" s="5">
        <f>B56/83</f>
        <v>0.27710843373493976</v>
      </c>
      <c r="K56" s="5">
        <f t="shared" ref="K56:O56" si="19">C56/83</f>
        <v>0.40963855421686746</v>
      </c>
      <c r="L56" s="5">
        <f t="shared" si="19"/>
        <v>0.25301204819277107</v>
      </c>
      <c r="M56" s="5">
        <f t="shared" si="19"/>
        <v>6.0240963855421686E-2</v>
      </c>
      <c r="N56" s="5">
        <f t="shared" si="19"/>
        <v>0</v>
      </c>
      <c r="O56" s="5">
        <f t="shared" si="19"/>
        <v>1</v>
      </c>
    </row>
    <row r="57" spans="1:15" ht="30" x14ac:dyDescent="0.25">
      <c r="A57" s="18" t="s">
        <v>705</v>
      </c>
      <c r="B57" s="4">
        <v>24</v>
      </c>
      <c r="C57" s="4">
        <v>36</v>
      </c>
      <c r="D57" s="4">
        <v>19</v>
      </c>
      <c r="E57" s="4">
        <v>3</v>
      </c>
      <c r="F57" s="4">
        <v>2</v>
      </c>
      <c r="G57" s="4">
        <f>SUM(B57:F57)</f>
        <v>84</v>
      </c>
      <c r="I57" s="18" t="s">
        <v>705</v>
      </c>
      <c r="J57" s="5">
        <f>B57/84</f>
        <v>0.2857142857142857</v>
      </c>
      <c r="K57" s="5">
        <f t="shared" ref="K57:O57" si="20">C57/84</f>
        <v>0.42857142857142855</v>
      </c>
      <c r="L57" s="5">
        <f t="shared" si="20"/>
        <v>0.22619047619047619</v>
      </c>
      <c r="M57" s="5">
        <f t="shared" si="20"/>
        <v>3.5714285714285712E-2</v>
      </c>
      <c r="N57" s="5">
        <f t="shared" si="20"/>
        <v>2.3809523809523808E-2</v>
      </c>
      <c r="O57" s="5">
        <f t="shared" si="20"/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I16" sqref="H3:L19"/>
    </sheetView>
  </sheetViews>
  <sheetFormatPr defaultRowHeight="15" x14ac:dyDescent="0.25"/>
  <cols>
    <col min="1" max="1" width="52.140625" customWidth="1"/>
    <col min="2" max="2" width="13.140625" customWidth="1"/>
    <col min="3" max="3" width="11.85546875" customWidth="1"/>
    <col min="4" max="4" width="13" customWidth="1"/>
    <col min="5" max="5" width="12.5703125" customWidth="1"/>
    <col min="6" max="6" width="12.140625" customWidth="1"/>
    <col min="9" max="9" width="54.42578125" customWidth="1"/>
    <col min="10" max="10" width="11.140625" customWidth="1"/>
    <col min="11" max="11" width="10.85546875" customWidth="1"/>
    <col min="12" max="12" width="13" customWidth="1"/>
    <col min="13" max="13" width="14" customWidth="1"/>
    <col min="14" max="14" width="12.42578125" customWidth="1"/>
  </cols>
  <sheetData>
    <row r="1" spans="1:15" x14ac:dyDescent="0.25">
      <c r="A1" s="3" t="s">
        <v>707</v>
      </c>
    </row>
    <row r="3" spans="1:15" ht="30" x14ac:dyDescent="0.25">
      <c r="A3" s="4"/>
      <c r="B3" s="19" t="s">
        <v>97</v>
      </c>
      <c r="C3" s="19" t="s">
        <v>98</v>
      </c>
      <c r="D3" s="19" t="s">
        <v>99</v>
      </c>
      <c r="E3" s="19" t="s">
        <v>100</v>
      </c>
      <c r="F3" s="19" t="s">
        <v>53</v>
      </c>
      <c r="I3" s="4"/>
      <c r="J3" s="19" t="s">
        <v>97</v>
      </c>
      <c r="K3" s="19" t="s">
        <v>98</v>
      </c>
      <c r="L3" s="19" t="s">
        <v>99</v>
      </c>
      <c r="M3" s="19" t="s">
        <v>100</v>
      </c>
      <c r="N3" s="19" t="s">
        <v>53</v>
      </c>
    </row>
    <row r="4" spans="1:15" x14ac:dyDescent="0.25">
      <c r="A4" s="18" t="s">
        <v>708</v>
      </c>
      <c r="B4" s="4">
        <v>15</v>
      </c>
      <c r="C4" s="4">
        <v>38</v>
      </c>
      <c r="D4" s="4">
        <v>97</v>
      </c>
      <c r="E4" s="4">
        <v>68</v>
      </c>
      <c r="F4" s="4">
        <f>SUM(B4:E4)</f>
        <v>218</v>
      </c>
      <c r="I4" s="18" t="s">
        <v>824</v>
      </c>
      <c r="J4" s="5">
        <f>B4/218</f>
        <v>6.8807339449541288E-2</v>
      </c>
      <c r="K4" s="5">
        <f t="shared" ref="K4:N4" si="0">C4/218</f>
        <v>0.1743119266055046</v>
      </c>
      <c r="L4" s="5">
        <f t="shared" si="0"/>
        <v>0.44495412844036697</v>
      </c>
      <c r="M4" s="5">
        <f t="shared" si="0"/>
        <v>0.31192660550458717</v>
      </c>
      <c r="N4" s="5">
        <f t="shared" si="0"/>
        <v>1</v>
      </c>
    </row>
    <row r="5" spans="1:15" x14ac:dyDescent="0.25">
      <c r="A5" s="18" t="s">
        <v>709</v>
      </c>
      <c r="B5" s="4">
        <v>61</v>
      </c>
      <c r="C5" s="4">
        <v>115</v>
      </c>
      <c r="D5" s="4">
        <v>32</v>
      </c>
      <c r="E5" s="4">
        <v>11</v>
      </c>
      <c r="F5" s="4">
        <f t="shared" ref="F5:F6" si="1">SUM(B5:E5)</f>
        <v>219</v>
      </c>
      <c r="I5" s="18" t="s">
        <v>709</v>
      </c>
      <c r="J5" s="5">
        <f>B5/219</f>
        <v>0.27853881278538811</v>
      </c>
      <c r="K5" s="5">
        <f t="shared" ref="K5:N5" si="2">C5/219</f>
        <v>0.52511415525114158</v>
      </c>
      <c r="L5" s="5">
        <f t="shared" si="2"/>
        <v>0.14611872146118721</v>
      </c>
      <c r="M5" s="5">
        <f t="shared" si="2"/>
        <v>5.0228310502283102E-2</v>
      </c>
      <c r="N5" s="5">
        <f t="shared" si="2"/>
        <v>1</v>
      </c>
    </row>
    <row r="6" spans="1:15" ht="30" x14ac:dyDescent="0.25">
      <c r="A6" s="18" t="s">
        <v>710</v>
      </c>
      <c r="B6" s="4">
        <v>89</v>
      </c>
      <c r="C6" s="4">
        <v>105</v>
      </c>
      <c r="D6" s="4">
        <v>12</v>
      </c>
      <c r="E6" s="4">
        <v>9</v>
      </c>
      <c r="F6" s="4">
        <f t="shared" si="1"/>
        <v>215</v>
      </c>
      <c r="I6" s="18" t="s">
        <v>710</v>
      </c>
      <c r="J6" s="5">
        <f>B6/215</f>
        <v>0.413953488372093</v>
      </c>
      <c r="K6" s="5">
        <f t="shared" ref="K6:N6" si="3">C6/215</f>
        <v>0.48837209302325579</v>
      </c>
      <c r="L6" s="5">
        <f t="shared" si="3"/>
        <v>5.5813953488372092E-2</v>
      </c>
      <c r="M6" s="5">
        <f t="shared" si="3"/>
        <v>4.1860465116279069E-2</v>
      </c>
      <c r="N6" s="5">
        <f t="shared" si="3"/>
        <v>1</v>
      </c>
    </row>
    <row r="9" spans="1:15" x14ac:dyDescent="0.25">
      <c r="A9" s="3" t="s">
        <v>712</v>
      </c>
    </row>
    <row r="11" spans="1:15" x14ac:dyDescent="0.25">
      <c r="A11" s="4"/>
      <c r="B11" s="4" t="s">
        <v>713</v>
      </c>
      <c r="C11" s="4" t="s">
        <v>714</v>
      </c>
      <c r="D11" s="4" t="s">
        <v>715</v>
      </c>
      <c r="E11" s="4" t="s">
        <v>716</v>
      </c>
      <c r="F11" s="4" t="s">
        <v>717</v>
      </c>
      <c r="G11" s="4" t="s">
        <v>53</v>
      </c>
      <c r="H11" s="54"/>
      <c r="I11" s="4"/>
      <c r="J11" s="4" t="s">
        <v>713</v>
      </c>
      <c r="K11" s="4" t="s">
        <v>714</v>
      </c>
      <c r="L11" s="4" t="s">
        <v>715</v>
      </c>
      <c r="M11" s="4" t="s">
        <v>716</v>
      </c>
      <c r="N11" s="4" t="s">
        <v>717</v>
      </c>
      <c r="O11" s="4" t="s">
        <v>53</v>
      </c>
    </row>
    <row r="12" spans="1:15" x14ac:dyDescent="0.25">
      <c r="A12" s="18" t="s">
        <v>718</v>
      </c>
      <c r="B12" s="4">
        <v>4</v>
      </c>
      <c r="C12" s="4">
        <v>5</v>
      </c>
      <c r="D12" s="4">
        <v>43</v>
      </c>
      <c r="E12" s="4">
        <v>62</v>
      </c>
      <c r="F12" s="4">
        <v>104</v>
      </c>
      <c r="G12" s="4">
        <f>SUM(B12:F12)</f>
        <v>218</v>
      </c>
      <c r="H12" s="54"/>
      <c r="I12" s="18" t="s">
        <v>718</v>
      </c>
      <c r="J12" s="5">
        <f>B12/218</f>
        <v>1.834862385321101E-2</v>
      </c>
      <c r="K12" s="5">
        <f t="shared" ref="K12:O12" si="4">C12/218</f>
        <v>2.2935779816513763E-2</v>
      </c>
      <c r="L12" s="5">
        <f t="shared" si="4"/>
        <v>0.19724770642201836</v>
      </c>
      <c r="M12" s="5">
        <f t="shared" si="4"/>
        <v>0.28440366972477066</v>
      </c>
      <c r="N12" s="5">
        <f t="shared" si="4"/>
        <v>0.47706422018348627</v>
      </c>
      <c r="O12" s="5">
        <f t="shared" si="4"/>
        <v>1</v>
      </c>
    </row>
    <row r="13" spans="1:15" x14ac:dyDescent="0.25">
      <c r="A13" s="18" t="s">
        <v>719</v>
      </c>
      <c r="B13" s="4">
        <v>0</v>
      </c>
      <c r="C13" s="4">
        <v>2</v>
      </c>
      <c r="D13" s="4">
        <v>21</v>
      </c>
      <c r="E13" s="4">
        <v>30</v>
      </c>
      <c r="F13" s="4">
        <v>161</v>
      </c>
      <c r="G13" s="4">
        <f t="shared" ref="G13:G23" si="5">SUM(B13:F13)</f>
        <v>214</v>
      </c>
      <c r="H13" s="54"/>
      <c r="I13" s="18" t="s">
        <v>719</v>
      </c>
      <c r="J13" s="5">
        <f>B13/214</f>
        <v>0</v>
      </c>
      <c r="K13" s="5">
        <f t="shared" ref="K13:O13" si="6">C13/214</f>
        <v>9.3457943925233638E-3</v>
      </c>
      <c r="L13" s="5">
        <f t="shared" si="6"/>
        <v>9.8130841121495324E-2</v>
      </c>
      <c r="M13" s="5">
        <f t="shared" si="6"/>
        <v>0.14018691588785046</v>
      </c>
      <c r="N13" s="5">
        <f t="shared" si="6"/>
        <v>0.75233644859813087</v>
      </c>
      <c r="O13" s="5">
        <f t="shared" si="6"/>
        <v>1</v>
      </c>
    </row>
    <row r="14" spans="1:15" x14ac:dyDescent="0.25">
      <c r="A14" s="18" t="s">
        <v>720</v>
      </c>
      <c r="B14" s="4">
        <v>3</v>
      </c>
      <c r="C14" s="4">
        <v>7</v>
      </c>
      <c r="D14" s="4">
        <v>30</v>
      </c>
      <c r="E14" s="4">
        <v>56</v>
      </c>
      <c r="F14" s="4">
        <v>119</v>
      </c>
      <c r="G14" s="4">
        <f t="shared" si="5"/>
        <v>215</v>
      </c>
      <c r="H14" s="54"/>
      <c r="I14" s="18" t="s">
        <v>825</v>
      </c>
      <c r="J14" s="5">
        <f>B14/215</f>
        <v>1.3953488372093023E-2</v>
      </c>
      <c r="K14" s="5">
        <f t="shared" ref="K14:O14" si="7">C14/215</f>
        <v>3.255813953488372E-2</v>
      </c>
      <c r="L14" s="5">
        <f t="shared" si="7"/>
        <v>0.13953488372093023</v>
      </c>
      <c r="M14" s="5">
        <f t="shared" si="7"/>
        <v>0.26046511627906976</v>
      </c>
      <c r="N14" s="5">
        <f t="shared" si="7"/>
        <v>0.55348837209302326</v>
      </c>
      <c r="O14" s="5">
        <f t="shared" si="7"/>
        <v>1</v>
      </c>
    </row>
    <row r="15" spans="1:15" ht="30" x14ac:dyDescent="0.25">
      <c r="A15" s="18" t="s">
        <v>721</v>
      </c>
      <c r="B15" s="4">
        <v>1</v>
      </c>
      <c r="C15" s="4">
        <v>6</v>
      </c>
      <c r="D15" s="4">
        <v>10</v>
      </c>
      <c r="E15" s="4">
        <v>27</v>
      </c>
      <c r="F15" s="4">
        <v>172</v>
      </c>
      <c r="G15" s="4">
        <f t="shared" si="5"/>
        <v>216</v>
      </c>
      <c r="H15" s="54"/>
      <c r="I15" s="18" t="s">
        <v>721</v>
      </c>
      <c r="J15" s="5">
        <f>B15/216</f>
        <v>4.6296296296296294E-3</v>
      </c>
      <c r="K15" s="5">
        <f t="shared" ref="K15:O15" si="8">C15/216</f>
        <v>2.7777777777777776E-2</v>
      </c>
      <c r="L15" s="5">
        <f t="shared" si="8"/>
        <v>4.6296296296296294E-2</v>
      </c>
      <c r="M15" s="5">
        <f t="shared" si="8"/>
        <v>0.125</v>
      </c>
      <c r="N15" s="5">
        <f t="shared" si="8"/>
        <v>0.79629629629629628</v>
      </c>
      <c r="O15" s="5">
        <f t="shared" si="8"/>
        <v>1</v>
      </c>
    </row>
    <row r="16" spans="1:15" ht="30" x14ac:dyDescent="0.25">
      <c r="A16" s="18" t="s">
        <v>722</v>
      </c>
      <c r="B16" s="4">
        <v>0</v>
      </c>
      <c r="C16" s="4">
        <v>3</v>
      </c>
      <c r="D16" s="4">
        <v>11</v>
      </c>
      <c r="E16" s="4">
        <v>23</v>
      </c>
      <c r="F16" s="4">
        <v>175</v>
      </c>
      <c r="G16" s="4">
        <f t="shared" si="5"/>
        <v>212</v>
      </c>
      <c r="H16" s="54"/>
      <c r="I16" s="18" t="s">
        <v>826</v>
      </c>
      <c r="J16" s="5">
        <f>B16/212</f>
        <v>0</v>
      </c>
      <c r="K16" s="5">
        <f t="shared" ref="K16:O16" si="9">C16/212</f>
        <v>1.4150943396226415E-2</v>
      </c>
      <c r="L16" s="5">
        <f t="shared" si="9"/>
        <v>5.1886792452830191E-2</v>
      </c>
      <c r="M16" s="5">
        <f t="shared" si="9"/>
        <v>0.10849056603773585</v>
      </c>
      <c r="N16" s="5">
        <f t="shared" si="9"/>
        <v>0.82547169811320753</v>
      </c>
      <c r="O16" s="5">
        <f t="shared" si="9"/>
        <v>1</v>
      </c>
    </row>
    <row r="17" spans="1:15" ht="30" x14ac:dyDescent="0.25">
      <c r="A17" s="53" t="s">
        <v>723</v>
      </c>
      <c r="B17" s="4">
        <v>1</v>
      </c>
      <c r="C17" s="4">
        <v>1</v>
      </c>
      <c r="D17" s="4">
        <v>9</v>
      </c>
      <c r="E17" s="4">
        <v>8</v>
      </c>
      <c r="F17" s="4">
        <v>199</v>
      </c>
      <c r="G17" s="4">
        <f t="shared" si="5"/>
        <v>218</v>
      </c>
      <c r="H17" s="54"/>
      <c r="I17" s="53" t="s">
        <v>723</v>
      </c>
      <c r="J17" s="5">
        <f>B17/218</f>
        <v>4.5871559633027525E-3</v>
      </c>
      <c r="K17" s="5">
        <f t="shared" ref="K17:O18" si="10">C17/218</f>
        <v>4.5871559633027525E-3</v>
      </c>
      <c r="L17" s="5">
        <f t="shared" si="10"/>
        <v>4.1284403669724773E-2</v>
      </c>
      <c r="M17" s="5">
        <f t="shared" si="10"/>
        <v>3.669724770642202E-2</v>
      </c>
      <c r="N17" s="5">
        <f t="shared" si="10"/>
        <v>0.91284403669724767</v>
      </c>
      <c r="O17" s="5">
        <f t="shared" si="10"/>
        <v>1</v>
      </c>
    </row>
    <row r="18" spans="1:15" ht="30" x14ac:dyDescent="0.25">
      <c r="A18" s="53" t="s">
        <v>724</v>
      </c>
      <c r="B18" s="4">
        <v>1</v>
      </c>
      <c r="C18" s="4">
        <v>3</v>
      </c>
      <c r="D18" s="4">
        <v>22</v>
      </c>
      <c r="E18" s="4">
        <v>28</v>
      </c>
      <c r="F18" s="4">
        <v>164</v>
      </c>
      <c r="G18" s="4">
        <f t="shared" si="5"/>
        <v>218</v>
      </c>
      <c r="H18" s="54"/>
      <c r="I18" s="53" t="s">
        <v>724</v>
      </c>
      <c r="J18" s="5">
        <f>B18/218</f>
        <v>4.5871559633027525E-3</v>
      </c>
      <c r="K18" s="5">
        <f t="shared" si="10"/>
        <v>1.3761467889908258E-2</v>
      </c>
      <c r="L18" s="5">
        <f t="shared" si="10"/>
        <v>0.10091743119266056</v>
      </c>
      <c r="M18" s="5">
        <f t="shared" si="10"/>
        <v>0.12844036697247707</v>
      </c>
      <c r="N18" s="5">
        <f t="shared" si="10"/>
        <v>0.75229357798165142</v>
      </c>
      <c r="O18" s="5">
        <f t="shared" si="10"/>
        <v>1</v>
      </c>
    </row>
    <row r="19" spans="1:15" ht="30" x14ac:dyDescent="0.25">
      <c r="A19" s="53" t="s">
        <v>725</v>
      </c>
      <c r="B19" s="4">
        <v>1</v>
      </c>
      <c r="C19" s="4">
        <v>0</v>
      </c>
      <c r="D19" s="4">
        <v>5</v>
      </c>
      <c r="E19" s="4">
        <v>3</v>
      </c>
      <c r="F19" s="4">
        <v>207</v>
      </c>
      <c r="G19" s="4">
        <f t="shared" si="5"/>
        <v>216</v>
      </c>
      <c r="H19" s="54"/>
      <c r="I19" s="53" t="s">
        <v>725</v>
      </c>
      <c r="J19" s="5">
        <f>B19/216</f>
        <v>4.6296296296296294E-3</v>
      </c>
      <c r="K19" s="5">
        <f t="shared" ref="K19:O19" si="11">C19/216</f>
        <v>0</v>
      </c>
      <c r="L19" s="5">
        <f t="shared" si="11"/>
        <v>2.3148148148148147E-2</v>
      </c>
      <c r="M19" s="5">
        <f t="shared" si="11"/>
        <v>1.3888888888888888E-2</v>
      </c>
      <c r="N19" s="5">
        <f t="shared" si="11"/>
        <v>0.95833333333333337</v>
      </c>
      <c r="O19" s="5">
        <f t="shared" si="11"/>
        <v>1</v>
      </c>
    </row>
    <row r="20" spans="1:15" ht="30" x14ac:dyDescent="0.25">
      <c r="A20" s="53" t="s">
        <v>726</v>
      </c>
      <c r="B20" s="4">
        <v>1</v>
      </c>
      <c r="C20" s="4">
        <v>6</v>
      </c>
      <c r="D20" s="4">
        <v>9</v>
      </c>
      <c r="E20" s="4">
        <v>7</v>
      </c>
      <c r="F20" s="4">
        <v>190</v>
      </c>
      <c r="G20" s="4">
        <f t="shared" si="5"/>
        <v>213</v>
      </c>
      <c r="H20" s="54"/>
      <c r="I20" s="53" t="s">
        <v>726</v>
      </c>
      <c r="J20" s="5">
        <f>B20/213</f>
        <v>4.6948356807511738E-3</v>
      </c>
      <c r="K20" s="5">
        <f t="shared" ref="K20:O20" si="12">C20/213</f>
        <v>2.8169014084507043E-2</v>
      </c>
      <c r="L20" s="5">
        <f t="shared" si="12"/>
        <v>4.2253521126760563E-2</v>
      </c>
      <c r="M20" s="5">
        <f t="shared" si="12"/>
        <v>3.2863849765258218E-2</v>
      </c>
      <c r="N20" s="5">
        <f t="shared" si="12"/>
        <v>0.892018779342723</v>
      </c>
      <c r="O20" s="5">
        <f t="shared" si="12"/>
        <v>1</v>
      </c>
    </row>
    <row r="21" spans="1:15" x14ac:dyDescent="0.25">
      <c r="A21" s="53" t="s">
        <v>727</v>
      </c>
      <c r="B21" s="4">
        <v>2</v>
      </c>
      <c r="C21" s="4">
        <v>6</v>
      </c>
      <c r="D21" s="4">
        <v>30</v>
      </c>
      <c r="E21" s="4">
        <v>76</v>
      </c>
      <c r="F21" s="4">
        <v>103</v>
      </c>
      <c r="G21" s="4">
        <f t="shared" si="5"/>
        <v>217</v>
      </c>
      <c r="H21" s="54"/>
      <c r="I21" s="53" t="s">
        <v>727</v>
      </c>
      <c r="J21" s="5">
        <f>B21/217</f>
        <v>9.2165898617511521E-3</v>
      </c>
      <c r="K21" s="5">
        <f t="shared" ref="K21:O22" si="13">C21/217</f>
        <v>2.7649769585253458E-2</v>
      </c>
      <c r="L21" s="5">
        <f t="shared" si="13"/>
        <v>0.13824884792626729</v>
      </c>
      <c r="M21" s="5">
        <f t="shared" si="13"/>
        <v>0.35023041474654376</v>
      </c>
      <c r="N21" s="5">
        <f t="shared" si="13"/>
        <v>0.47465437788018433</v>
      </c>
      <c r="O21" s="5">
        <f t="shared" si="13"/>
        <v>1</v>
      </c>
    </row>
    <row r="22" spans="1:15" x14ac:dyDescent="0.25">
      <c r="A22" s="53" t="s">
        <v>728</v>
      </c>
      <c r="B22" s="4">
        <v>2</v>
      </c>
      <c r="C22" s="4">
        <v>10</v>
      </c>
      <c r="D22" s="4">
        <v>42</v>
      </c>
      <c r="E22" s="4">
        <v>72</v>
      </c>
      <c r="F22" s="4">
        <v>91</v>
      </c>
      <c r="G22" s="4">
        <f t="shared" si="5"/>
        <v>217</v>
      </c>
      <c r="H22" s="54"/>
      <c r="I22" s="53" t="s">
        <v>728</v>
      </c>
      <c r="J22" s="5">
        <f>B22/217</f>
        <v>9.2165898617511521E-3</v>
      </c>
      <c r="K22" s="5">
        <f t="shared" si="13"/>
        <v>4.6082949308755762E-2</v>
      </c>
      <c r="L22" s="5">
        <f t="shared" si="13"/>
        <v>0.19354838709677419</v>
      </c>
      <c r="M22" s="5">
        <f t="shared" si="13"/>
        <v>0.33179723502304148</v>
      </c>
      <c r="N22" s="5">
        <f t="shared" si="13"/>
        <v>0.41935483870967744</v>
      </c>
      <c r="O22" s="5">
        <f t="shared" si="13"/>
        <v>1</v>
      </c>
    </row>
    <row r="23" spans="1:15" ht="30" x14ac:dyDescent="0.25">
      <c r="A23" s="53" t="s">
        <v>729</v>
      </c>
      <c r="B23" s="4">
        <v>3</v>
      </c>
      <c r="C23" s="4">
        <v>6</v>
      </c>
      <c r="D23" s="4">
        <v>27</v>
      </c>
      <c r="E23" s="4">
        <v>57</v>
      </c>
      <c r="F23" s="4">
        <v>122</v>
      </c>
      <c r="G23" s="4">
        <f t="shared" si="5"/>
        <v>215</v>
      </c>
      <c r="H23" s="54"/>
      <c r="I23" s="53" t="s">
        <v>729</v>
      </c>
      <c r="J23" s="5">
        <f>B23/215</f>
        <v>1.3953488372093023E-2</v>
      </c>
      <c r="K23" s="5">
        <f t="shared" ref="K23:O23" si="14">C23/215</f>
        <v>2.7906976744186046E-2</v>
      </c>
      <c r="L23" s="5">
        <f t="shared" si="14"/>
        <v>0.12558139534883722</v>
      </c>
      <c r="M23" s="5">
        <f t="shared" si="14"/>
        <v>0.26511627906976742</v>
      </c>
      <c r="N23" s="5">
        <f t="shared" si="14"/>
        <v>0.56744186046511624</v>
      </c>
      <c r="O23" s="5">
        <f t="shared" si="14"/>
        <v>1</v>
      </c>
    </row>
    <row r="26" spans="1:15" x14ac:dyDescent="0.25">
      <c r="A26" s="3" t="s">
        <v>731</v>
      </c>
    </row>
    <row r="28" spans="1:15" ht="30" x14ac:dyDescent="0.25">
      <c r="A28" s="4"/>
      <c r="B28" s="18" t="s">
        <v>738</v>
      </c>
      <c r="C28" s="18" t="s">
        <v>446</v>
      </c>
      <c r="D28" s="18" t="s">
        <v>739</v>
      </c>
      <c r="E28" s="18" t="s">
        <v>740</v>
      </c>
      <c r="F28" s="18" t="s">
        <v>741</v>
      </c>
      <c r="G28" s="18" t="s">
        <v>53</v>
      </c>
      <c r="I28" s="4"/>
      <c r="J28" s="18" t="s">
        <v>738</v>
      </c>
      <c r="K28" s="18" t="s">
        <v>446</v>
      </c>
      <c r="L28" s="18" t="s">
        <v>739</v>
      </c>
      <c r="M28" s="18" t="s">
        <v>740</v>
      </c>
      <c r="N28" s="18" t="s">
        <v>741</v>
      </c>
      <c r="O28" s="18" t="s">
        <v>53</v>
      </c>
    </row>
    <row r="29" spans="1:15" x14ac:dyDescent="0.25">
      <c r="A29" s="18" t="s">
        <v>732</v>
      </c>
      <c r="B29" s="4">
        <v>34</v>
      </c>
      <c r="C29" s="4">
        <v>104</v>
      </c>
      <c r="D29" s="4">
        <v>62</v>
      </c>
      <c r="E29" s="4">
        <v>11</v>
      </c>
      <c r="F29" s="4">
        <v>7</v>
      </c>
      <c r="G29" s="4">
        <f>SUM(B29:F29)</f>
        <v>218</v>
      </c>
      <c r="I29" s="18" t="s">
        <v>732</v>
      </c>
      <c r="J29" s="5">
        <f>B29/218</f>
        <v>0.15596330275229359</v>
      </c>
      <c r="K29" s="5">
        <f t="shared" ref="K29:O29" si="15">C29/218</f>
        <v>0.47706422018348627</v>
      </c>
      <c r="L29" s="5">
        <f t="shared" si="15"/>
        <v>0.28440366972477066</v>
      </c>
      <c r="M29" s="5">
        <f t="shared" si="15"/>
        <v>5.0458715596330278E-2</v>
      </c>
      <c r="N29" s="5">
        <f t="shared" si="15"/>
        <v>3.2110091743119268E-2</v>
      </c>
      <c r="O29" s="5">
        <f t="shared" si="15"/>
        <v>1</v>
      </c>
    </row>
    <row r="30" spans="1:15" x14ac:dyDescent="0.25">
      <c r="A30" s="18" t="s">
        <v>733</v>
      </c>
      <c r="B30" s="4">
        <v>40</v>
      </c>
      <c r="C30" s="4">
        <v>96</v>
      </c>
      <c r="D30" s="4">
        <v>61</v>
      </c>
      <c r="E30" s="4">
        <v>12</v>
      </c>
      <c r="F30" s="4">
        <v>6</v>
      </c>
      <c r="G30" s="4">
        <f t="shared" ref="G30:G34" si="16">SUM(B30:F30)</f>
        <v>215</v>
      </c>
      <c r="I30" s="18" t="s">
        <v>733</v>
      </c>
      <c r="J30" s="5">
        <f>B30/215</f>
        <v>0.18604651162790697</v>
      </c>
      <c r="K30" s="5">
        <f t="shared" ref="K30:O31" si="17">C30/215</f>
        <v>0.44651162790697674</v>
      </c>
      <c r="L30" s="5">
        <f t="shared" si="17"/>
        <v>0.28372093023255812</v>
      </c>
      <c r="M30" s="5">
        <f t="shared" si="17"/>
        <v>5.5813953488372092E-2</v>
      </c>
      <c r="N30" s="5">
        <f t="shared" si="17"/>
        <v>2.7906976744186046E-2</v>
      </c>
      <c r="O30" s="5">
        <f t="shared" si="17"/>
        <v>1</v>
      </c>
    </row>
    <row r="31" spans="1:15" x14ac:dyDescent="0.25">
      <c r="A31" s="18" t="s">
        <v>734</v>
      </c>
      <c r="B31" s="4">
        <v>46</v>
      </c>
      <c r="C31" s="4">
        <v>97</v>
      </c>
      <c r="D31" s="4">
        <v>62</v>
      </c>
      <c r="E31" s="4">
        <v>8</v>
      </c>
      <c r="F31" s="4">
        <v>2</v>
      </c>
      <c r="G31" s="4">
        <f t="shared" si="16"/>
        <v>215</v>
      </c>
      <c r="I31" s="18" t="s">
        <v>734</v>
      </c>
      <c r="J31" s="5">
        <f>B31/215</f>
        <v>0.21395348837209302</v>
      </c>
      <c r="K31" s="5">
        <f t="shared" si="17"/>
        <v>0.4511627906976744</v>
      </c>
      <c r="L31" s="5">
        <f t="shared" si="17"/>
        <v>0.28837209302325584</v>
      </c>
      <c r="M31" s="5">
        <f t="shared" si="17"/>
        <v>3.7209302325581395E-2</v>
      </c>
      <c r="N31" s="5">
        <f t="shared" si="17"/>
        <v>9.3023255813953487E-3</v>
      </c>
      <c r="O31" s="5">
        <f t="shared" si="17"/>
        <v>1</v>
      </c>
    </row>
    <row r="32" spans="1:15" x14ac:dyDescent="0.25">
      <c r="A32" s="18" t="s">
        <v>735</v>
      </c>
      <c r="B32" s="4">
        <v>27</v>
      </c>
      <c r="C32" s="4">
        <v>73</v>
      </c>
      <c r="D32" s="4">
        <v>100</v>
      </c>
      <c r="E32" s="4">
        <v>8</v>
      </c>
      <c r="F32" s="4">
        <v>4</v>
      </c>
      <c r="G32" s="4">
        <f t="shared" si="16"/>
        <v>212</v>
      </c>
      <c r="I32" s="18" t="s">
        <v>735</v>
      </c>
      <c r="J32" s="5">
        <f>B32/212</f>
        <v>0.12735849056603774</v>
      </c>
      <c r="K32" s="5">
        <f t="shared" ref="K32:O34" si="18">C32/212</f>
        <v>0.34433962264150941</v>
      </c>
      <c r="L32" s="5">
        <f t="shared" si="18"/>
        <v>0.47169811320754718</v>
      </c>
      <c r="M32" s="5">
        <f t="shared" si="18"/>
        <v>3.7735849056603772E-2</v>
      </c>
      <c r="N32" s="5">
        <f t="shared" si="18"/>
        <v>1.8867924528301886E-2</v>
      </c>
      <c r="O32" s="5">
        <f t="shared" si="18"/>
        <v>1</v>
      </c>
    </row>
    <row r="33" spans="1:15" x14ac:dyDescent="0.25">
      <c r="A33" s="18" t="s">
        <v>736</v>
      </c>
      <c r="B33" s="4">
        <v>28</v>
      </c>
      <c r="C33" s="4">
        <v>80</v>
      </c>
      <c r="D33" s="4">
        <v>94</v>
      </c>
      <c r="E33" s="4">
        <v>7</v>
      </c>
      <c r="F33" s="4">
        <v>3</v>
      </c>
      <c r="G33" s="4">
        <f t="shared" si="16"/>
        <v>212</v>
      </c>
      <c r="I33" s="18" t="s">
        <v>736</v>
      </c>
      <c r="J33" s="5">
        <f>B33/212</f>
        <v>0.13207547169811321</v>
      </c>
      <c r="K33" s="5">
        <f t="shared" si="18"/>
        <v>0.37735849056603776</v>
      </c>
      <c r="L33" s="5">
        <f t="shared" si="18"/>
        <v>0.44339622641509435</v>
      </c>
      <c r="M33" s="5">
        <f t="shared" si="18"/>
        <v>3.3018867924528301E-2</v>
      </c>
      <c r="N33" s="5">
        <f t="shared" si="18"/>
        <v>1.4150943396226415E-2</v>
      </c>
      <c r="O33" s="5">
        <f t="shared" si="18"/>
        <v>1</v>
      </c>
    </row>
    <row r="34" spans="1:15" ht="30" x14ac:dyDescent="0.25">
      <c r="A34" s="18" t="s">
        <v>737</v>
      </c>
      <c r="B34" s="4">
        <v>24</v>
      </c>
      <c r="C34" s="4">
        <v>76</v>
      </c>
      <c r="D34" s="4">
        <v>94</v>
      </c>
      <c r="E34" s="4">
        <v>14</v>
      </c>
      <c r="F34" s="4">
        <v>4</v>
      </c>
      <c r="G34" s="4">
        <f t="shared" si="16"/>
        <v>212</v>
      </c>
      <c r="I34" s="18" t="s">
        <v>737</v>
      </c>
      <c r="J34" s="5">
        <f>B34/212</f>
        <v>0.11320754716981132</v>
      </c>
      <c r="K34" s="5">
        <f t="shared" si="18"/>
        <v>0.35849056603773582</v>
      </c>
      <c r="L34" s="5">
        <f t="shared" si="18"/>
        <v>0.44339622641509435</v>
      </c>
      <c r="M34" s="5">
        <f t="shared" si="18"/>
        <v>6.6037735849056603E-2</v>
      </c>
      <c r="N34" s="5">
        <f t="shared" si="18"/>
        <v>1.8867924528301886E-2</v>
      </c>
      <c r="O34" s="5">
        <f t="shared" si="18"/>
        <v>1</v>
      </c>
    </row>
    <row r="37" spans="1:15" x14ac:dyDescent="0.25">
      <c r="A37" s="3" t="s">
        <v>742</v>
      </c>
    </row>
    <row r="38" spans="1:15" ht="30" x14ac:dyDescent="0.25">
      <c r="A38" s="4"/>
      <c r="B38" s="18" t="s">
        <v>738</v>
      </c>
      <c r="C38" s="18" t="s">
        <v>446</v>
      </c>
      <c r="D38" s="18" t="s">
        <v>739</v>
      </c>
      <c r="E38" s="18" t="s">
        <v>740</v>
      </c>
      <c r="F38" s="18" t="s">
        <v>741</v>
      </c>
      <c r="G38" s="18" t="s">
        <v>53</v>
      </c>
      <c r="I38" s="4"/>
      <c r="J38" s="18" t="s">
        <v>738</v>
      </c>
      <c r="K38" s="18" t="s">
        <v>446</v>
      </c>
      <c r="L38" s="18" t="s">
        <v>739</v>
      </c>
      <c r="M38" s="18" t="s">
        <v>740</v>
      </c>
      <c r="N38" s="18" t="s">
        <v>741</v>
      </c>
      <c r="O38" s="18" t="s">
        <v>53</v>
      </c>
    </row>
    <row r="39" spans="1:15" x14ac:dyDescent="0.25">
      <c r="A39" s="4" t="s">
        <v>743</v>
      </c>
      <c r="B39" s="4">
        <v>73</v>
      </c>
      <c r="C39" s="4">
        <v>85</v>
      </c>
      <c r="D39" s="4">
        <v>26</v>
      </c>
      <c r="E39" s="4">
        <v>21</v>
      </c>
      <c r="F39" s="4">
        <v>11</v>
      </c>
      <c r="G39" s="4">
        <f>SUM(B39:F39)</f>
        <v>216</v>
      </c>
      <c r="I39" s="4" t="s">
        <v>743</v>
      </c>
      <c r="J39" s="5">
        <f>B39/216</f>
        <v>0.33796296296296297</v>
      </c>
      <c r="K39" s="5">
        <f t="shared" ref="K39:O40" si="19">C39/216</f>
        <v>0.39351851851851855</v>
      </c>
      <c r="L39" s="5">
        <f t="shared" si="19"/>
        <v>0.12037037037037036</v>
      </c>
      <c r="M39" s="5">
        <f t="shared" si="19"/>
        <v>9.7222222222222224E-2</v>
      </c>
      <c r="N39" s="5">
        <f t="shared" si="19"/>
        <v>5.0925925925925923E-2</v>
      </c>
      <c r="O39" s="5">
        <f t="shared" si="19"/>
        <v>1</v>
      </c>
    </row>
    <row r="40" spans="1:15" x14ac:dyDescent="0.25">
      <c r="A40" s="4" t="s">
        <v>744</v>
      </c>
      <c r="B40" s="4">
        <v>57</v>
      </c>
      <c r="C40" s="4">
        <v>93</v>
      </c>
      <c r="D40" s="4">
        <v>41</v>
      </c>
      <c r="E40" s="4">
        <v>16</v>
      </c>
      <c r="F40" s="4">
        <v>9</v>
      </c>
      <c r="G40" s="4">
        <f t="shared" ref="G40:G44" si="20">SUM(B40:F40)</f>
        <v>216</v>
      </c>
      <c r="I40" s="4" t="s">
        <v>744</v>
      </c>
      <c r="J40" s="5">
        <f>B40/216</f>
        <v>0.2638888888888889</v>
      </c>
      <c r="K40" s="5">
        <f t="shared" si="19"/>
        <v>0.43055555555555558</v>
      </c>
      <c r="L40" s="5">
        <f t="shared" si="19"/>
        <v>0.18981481481481483</v>
      </c>
      <c r="M40" s="5">
        <f t="shared" si="19"/>
        <v>7.407407407407407E-2</v>
      </c>
      <c r="N40" s="5">
        <f t="shared" si="19"/>
        <v>4.1666666666666664E-2</v>
      </c>
      <c r="O40" s="5">
        <f t="shared" si="19"/>
        <v>1</v>
      </c>
    </row>
    <row r="41" spans="1:15" x14ac:dyDescent="0.25">
      <c r="A41" s="4" t="s">
        <v>745</v>
      </c>
      <c r="B41" s="4">
        <v>71</v>
      </c>
      <c r="C41" s="4">
        <v>97</v>
      </c>
      <c r="D41" s="4">
        <v>29</v>
      </c>
      <c r="E41" s="4">
        <v>13</v>
      </c>
      <c r="F41" s="4">
        <v>7</v>
      </c>
      <c r="G41" s="4">
        <f t="shared" si="20"/>
        <v>217</v>
      </c>
      <c r="I41" s="4" t="s">
        <v>745</v>
      </c>
      <c r="J41" s="5">
        <f>B41/217</f>
        <v>0.32718894009216593</v>
      </c>
      <c r="K41" s="5">
        <f t="shared" ref="K41:O41" si="21">C41/217</f>
        <v>0.44700460829493088</v>
      </c>
      <c r="L41" s="5">
        <f t="shared" si="21"/>
        <v>0.13364055299539171</v>
      </c>
      <c r="M41" s="5">
        <f t="shared" si="21"/>
        <v>5.9907834101382486E-2</v>
      </c>
      <c r="N41" s="5">
        <f t="shared" si="21"/>
        <v>3.2258064516129031E-2</v>
      </c>
      <c r="O41" s="5">
        <f t="shared" si="21"/>
        <v>1</v>
      </c>
    </row>
    <row r="42" spans="1:15" x14ac:dyDescent="0.25">
      <c r="A42" s="4" t="s">
        <v>746</v>
      </c>
      <c r="B42" s="4">
        <v>36</v>
      </c>
      <c r="C42" s="4">
        <v>76</v>
      </c>
      <c r="D42" s="4">
        <v>45</v>
      </c>
      <c r="E42" s="4">
        <v>42</v>
      </c>
      <c r="F42" s="4">
        <v>13</v>
      </c>
      <c r="G42" s="4">
        <f t="shared" si="20"/>
        <v>212</v>
      </c>
      <c r="I42" s="4" t="s">
        <v>746</v>
      </c>
      <c r="J42" s="5">
        <f>B42/212</f>
        <v>0.16981132075471697</v>
      </c>
      <c r="K42" s="5">
        <f t="shared" ref="K42:O42" si="22">C42/212</f>
        <v>0.35849056603773582</v>
      </c>
      <c r="L42" s="5">
        <f t="shared" si="22"/>
        <v>0.21226415094339623</v>
      </c>
      <c r="M42" s="5">
        <f t="shared" si="22"/>
        <v>0.19811320754716982</v>
      </c>
      <c r="N42" s="5">
        <f t="shared" si="22"/>
        <v>6.1320754716981132E-2</v>
      </c>
      <c r="O42" s="5">
        <f t="shared" si="22"/>
        <v>1</v>
      </c>
    </row>
    <row r="43" spans="1:15" x14ac:dyDescent="0.25">
      <c r="A43" s="4" t="s">
        <v>747</v>
      </c>
      <c r="B43" s="4">
        <v>63</v>
      </c>
      <c r="C43" s="4">
        <v>94</v>
      </c>
      <c r="D43" s="4">
        <v>48</v>
      </c>
      <c r="E43" s="4">
        <v>4</v>
      </c>
      <c r="F43" s="4">
        <v>5</v>
      </c>
      <c r="G43" s="4">
        <f t="shared" si="20"/>
        <v>214</v>
      </c>
      <c r="I43" s="4" t="s">
        <v>747</v>
      </c>
      <c r="J43" s="5">
        <f>B43/214</f>
        <v>0.29439252336448596</v>
      </c>
      <c r="K43" s="5">
        <f t="shared" ref="K43:O43" si="23">C43/214</f>
        <v>0.43925233644859812</v>
      </c>
      <c r="L43" s="5">
        <f t="shared" si="23"/>
        <v>0.22429906542056074</v>
      </c>
      <c r="M43" s="5">
        <f t="shared" si="23"/>
        <v>1.8691588785046728E-2</v>
      </c>
      <c r="N43" s="5">
        <f t="shared" si="23"/>
        <v>2.336448598130841E-2</v>
      </c>
      <c r="O43" s="5">
        <f t="shared" si="23"/>
        <v>1</v>
      </c>
    </row>
    <row r="44" spans="1:15" x14ac:dyDescent="0.25">
      <c r="A44" s="4" t="s">
        <v>748</v>
      </c>
      <c r="B44" s="4">
        <v>73</v>
      </c>
      <c r="C44" s="4">
        <v>113</v>
      </c>
      <c r="D44" s="4">
        <v>20</v>
      </c>
      <c r="E44" s="4">
        <v>7</v>
      </c>
      <c r="F44" s="4">
        <v>4</v>
      </c>
      <c r="G44" s="4">
        <f t="shared" si="20"/>
        <v>217</v>
      </c>
      <c r="I44" s="4" t="s">
        <v>748</v>
      </c>
      <c r="J44" s="5">
        <f>B44/217</f>
        <v>0.33640552995391704</v>
      </c>
      <c r="K44" s="5">
        <f t="shared" ref="K44:O44" si="24">C44/217</f>
        <v>0.52073732718894006</v>
      </c>
      <c r="L44" s="5">
        <f t="shared" si="24"/>
        <v>9.2165898617511524E-2</v>
      </c>
      <c r="M44" s="5">
        <f t="shared" si="24"/>
        <v>3.2258064516129031E-2</v>
      </c>
      <c r="N44" s="5">
        <f t="shared" si="24"/>
        <v>1.8433179723502304E-2</v>
      </c>
      <c r="O44" s="5">
        <f t="shared" si="24"/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I16" sqref="H3:L19"/>
    </sheetView>
  </sheetViews>
  <sheetFormatPr defaultRowHeight="15" x14ac:dyDescent="0.25"/>
  <cols>
    <col min="1" max="1" width="50.5703125" customWidth="1"/>
    <col min="2" max="2" width="12.42578125" customWidth="1"/>
    <col min="3" max="3" width="12.28515625" customWidth="1"/>
    <col min="4" max="4" width="11.85546875" customWidth="1"/>
    <col min="5" max="5" width="11.5703125" customWidth="1"/>
    <col min="9" max="9" width="54.5703125" customWidth="1"/>
    <col min="10" max="11" width="11.85546875" customWidth="1"/>
    <col min="12" max="12" width="13.140625" customWidth="1"/>
    <col min="13" max="13" width="11.85546875" customWidth="1"/>
  </cols>
  <sheetData>
    <row r="1" spans="1:15" x14ac:dyDescent="0.25">
      <c r="A1" s="3" t="s">
        <v>752</v>
      </c>
    </row>
    <row r="3" spans="1:15" ht="30" x14ac:dyDescent="0.25">
      <c r="A3" s="4"/>
      <c r="B3" s="18" t="s">
        <v>145</v>
      </c>
      <c r="C3" s="18" t="s">
        <v>146</v>
      </c>
      <c r="D3" s="18" t="s">
        <v>147</v>
      </c>
      <c r="E3" s="18" t="s">
        <v>148</v>
      </c>
      <c r="F3" s="18" t="s">
        <v>53</v>
      </c>
      <c r="I3" s="4"/>
      <c r="J3" s="18" t="s">
        <v>145</v>
      </c>
      <c r="K3" s="18" t="s">
        <v>146</v>
      </c>
      <c r="L3" s="18" t="s">
        <v>147</v>
      </c>
      <c r="M3" s="18" t="s">
        <v>148</v>
      </c>
      <c r="N3" s="18" t="s">
        <v>53</v>
      </c>
    </row>
    <row r="4" spans="1:15" x14ac:dyDescent="0.25">
      <c r="A4" s="18" t="s">
        <v>753</v>
      </c>
      <c r="B4" s="4">
        <v>18</v>
      </c>
      <c r="C4" s="4">
        <v>30</v>
      </c>
      <c r="D4" s="4">
        <v>70</v>
      </c>
      <c r="E4" s="4">
        <v>93</v>
      </c>
      <c r="F4" s="4">
        <f>SUM(B4:E4)</f>
        <v>211</v>
      </c>
      <c r="I4" s="18" t="s">
        <v>753</v>
      </c>
      <c r="J4" s="5">
        <f>B4/211</f>
        <v>8.5308056872037921E-2</v>
      </c>
      <c r="K4" s="5">
        <f t="shared" ref="K4:N7" si="0">C4/211</f>
        <v>0.14218009478672985</v>
      </c>
      <c r="L4" s="5">
        <f t="shared" si="0"/>
        <v>0.33175355450236965</v>
      </c>
      <c r="M4" s="5">
        <f t="shared" si="0"/>
        <v>0.44075829383886256</v>
      </c>
      <c r="N4" s="5">
        <f t="shared" si="0"/>
        <v>1</v>
      </c>
    </row>
    <row r="5" spans="1:15" x14ac:dyDescent="0.25">
      <c r="A5" s="18" t="s">
        <v>754</v>
      </c>
      <c r="B5" s="4">
        <v>32</v>
      </c>
      <c r="C5" s="4">
        <v>56</v>
      </c>
      <c r="D5" s="4">
        <v>77</v>
      </c>
      <c r="E5" s="4">
        <v>46</v>
      </c>
      <c r="F5" s="4">
        <f t="shared" ref="F5:F7" si="1">SUM(B5:E5)</f>
        <v>211</v>
      </c>
      <c r="I5" s="18" t="s">
        <v>830</v>
      </c>
      <c r="J5" s="5">
        <f t="shared" ref="J5:J7" si="2">B5/211</f>
        <v>0.15165876777251186</v>
      </c>
      <c r="K5" s="5">
        <f t="shared" si="0"/>
        <v>0.26540284360189575</v>
      </c>
      <c r="L5" s="5">
        <f t="shared" si="0"/>
        <v>0.36492890995260663</v>
      </c>
      <c r="M5" s="5">
        <f t="shared" si="0"/>
        <v>0.21800947867298578</v>
      </c>
      <c r="N5" s="5">
        <f t="shared" si="0"/>
        <v>1</v>
      </c>
    </row>
    <row r="6" spans="1:15" ht="30" x14ac:dyDescent="0.25">
      <c r="A6" s="18" t="s">
        <v>755</v>
      </c>
      <c r="B6" s="4">
        <v>20</v>
      </c>
      <c r="C6" s="4">
        <v>43</v>
      </c>
      <c r="D6" s="4">
        <v>81</v>
      </c>
      <c r="E6" s="4">
        <v>67</v>
      </c>
      <c r="F6" s="4">
        <f t="shared" si="1"/>
        <v>211</v>
      </c>
      <c r="I6" s="18" t="s">
        <v>755</v>
      </c>
      <c r="J6" s="5">
        <f t="shared" si="2"/>
        <v>9.4786729857819899E-2</v>
      </c>
      <c r="K6" s="5">
        <f t="shared" si="0"/>
        <v>0.20379146919431279</v>
      </c>
      <c r="L6" s="5">
        <f t="shared" si="0"/>
        <v>0.38388625592417064</v>
      </c>
      <c r="M6" s="5">
        <f t="shared" si="0"/>
        <v>0.31753554502369669</v>
      </c>
      <c r="N6" s="5">
        <f t="shared" si="0"/>
        <v>1</v>
      </c>
    </row>
    <row r="7" spans="1:15" ht="30" x14ac:dyDescent="0.25">
      <c r="A7" s="18" t="s">
        <v>756</v>
      </c>
      <c r="B7" s="4">
        <v>20</v>
      </c>
      <c r="C7" s="4">
        <v>34</v>
      </c>
      <c r="D7" s="4">
        <v>84</v>
      </c>
      <c r="E7" s="4">
        <v>73</v>
      </c>
      <c r="F7" s="4">
        <f t="shared" si="1"/>
        <v>211</v>
      </c>
      <c r="I7" s="18" t="s">
        <v>756</v>
      </c>
      <c r="J7" s="5">
        <f t="shared" si="2"/>
        <v>9.4786729857819899E-2</v>
      </c>
      <c r="K7" s="5">
        <f t="shared" si="0"/>
        <v>0.16113744075829384</v>
      </c>
      <c r="L7" s="5">
        <f t="shared" si="0"/>
        <v>0.3981042654028436</v>
      </c>
      <c r="M7" s="5">
        <f t="shared" si="0"/>
        <v>0.34597156398104267</v>
      </c>
      <c r="N7" s="5">
        <f t="shared" si="0"/>
        <v>1</v>
      </c>
    </row>
    <row r="10" spans="1:15" x14ac:dyDescent="0.25">
      <c r="A10" s="3" t="s">
        <v>757</v>
      </c>
    </row>
    <row r="12" spans="1:15" ht="30" x14ac:dyDescent="0.25">
      <c r="A12" s="4"/>
      <c r="B12" s="18" t="s">
        <v>178</v>
      </c>
      <c r="C12" s="18" t="s">
        <v>179</v>
      </c>
      <c r="D12" s="18" t="s">
        <v>679</v>
      </c>
      <c r="E12" s="18" t="s">
        <v>181</v>
      </c>
      <c r="F12" s="18" t="s">
        <v>240</v>
      </c>
      <c r="G12" s="18" t="s">
        <v>53</v>
      </c>
      <c r="I12" s="4"/>
      <c r="J12" s="18" t="s">
        <v>178</v>
      </c>
      <c r="K12" s="18" t="s">
        <v>179</v>
      </c>
      <c r="L12" s="18" t="s">
        <v>679</v>
      </c>
      <c r="M12" s="18" t="s">
        <v>181</v>
      </c>
      <c r="N12" s="18" t="s">
        <v>240</v>
      </c>
      <c r="O12" s="18" t="s">
        <v>53</v>
      </c>
    </row>
    <row r="13" spans="1:15" x14ac:dyDescent="0.25">
      <c r="A13" s="18" t="s">
        <v>758</v>
      </c>
      <c r="B13" s="4">
        <v>88</v>
      </c>
      <c r="C13" s="4">
        <v>74</v>
      </c>
      <c r="D13" s="4">
        <v>41</v>
      </c>
      <c r="E13" s="4">
        <v>9</v>
      </c>
      <c r="F13" s="4">
        <v>4</v>
      </c>
      <c r="G13" s="4">
        <f>SUM(B13:F13)</f>
        <v>216</v>
      </c>
      <c r="I13" s="18" t="s">
        <v>758</v>
      </c>
      <c r="J13" s="5">
        <f>B13/216</f>
        <v>0.40740740740740738</v>
      </c>
      <c r="K13" s="5">
        <f t="shared" ref="K13:O13" si="3">C13/216</f>
        <v>0.34259259259259262</v>
      </c>
      <c r="L13" s="5">
        <f t="shared" si="3"/>
        <v>0.18981481481481483</v>
      </c>
      <c r="M13" s="5">
        <f t="shared" si="3"/>
        <v>4.1666666666666664E-2</v>
      </c>
      <c r="N13" s="5">
        <f t="shared" si="3"/>
        <v>1.8518518518518517E-2</v>
      </c>
      <c r="O13" s="5">
        <f t="shared" si="3"/>
        <v>1</v>
      </c>
    </row>
    <row r="14" spans="1:15" x14ac:dyDescent="0.25">
      <c r="A14" s="18" t="s">
        <v>759</v>
      </c>
      <c r="B14" s="4">
        <v>28</v>
      </c>
      <c r="C14" s="4">
        <v>44</v>
      </c>
      <c r="D14" s="4">
        <v>44</v>
      </c>
      <c r="E14" s="4">
        <v>38</v>
      </c>
      <c r="F14" s="4">
        <v>60</v>
      </c>
      <c r="G14" s="4">
        <f t="shared" ref="G14:G20" si="4">SUM(B14:F14)</f>
        <v>214</v>
      </c>
      <c r="I14" s="18" t="s">
        <v>759</v>
      </c>
      <c r="J14" s="5">
        <f>B14/214</f>
        <v>0.13084112149532709</v>
      </c>
      <c r="K14" s="5">
        <f t="shared" ref="K14:O14" si="5">C14/214</f>
        <v>0.20560747663551401</v>
      </c>
      <c r="L14" s="5">
        <f t="shared" si="5"/>
        <v>0.20560747663551401</v>
      </c>
      <c r="M14" s="5">
        <f t="shared" si="5"/>
        <v>0.17757009345794392</v>
      </c>
      <c r="N14" s="5">
        <f t="shared" si="5"/>
        <v>0.28037383177570091</v>
      </c>
      <c r="O14" s="5">
        <f t="shared" si="5"/>
        <v>1</v>
      </c>
    </row>
    <row r="15" spans="1:15" x14ac:dyDescent="0.25">
      <c r="A15" s="18" t="s">
        <v>760</v>
      </c>
      <c r="B15" s="4">
        <v>54</v>
      </c>
      <c r="C15" s="4">
        <v>60</v>
      </c>
      <c r="D15" s="4">
        <v>51</v>
      </c>
      <c r="E15" s="4">
        <v>26</v>
      </c>
      <c r="F15" s="4">
        <v>24</v>
      </c>
      <c r="G15" s="4">
        <f t="shared" si="4"/>
        <v>215</v>
      </c>
      <c r="I15" s="18" t="s">
        <v>760</v>
      </c>
      <c r="J15" s="5">
        <f>B15/215</f>
        <v>0.25116279069767444</v>
      </c>
      <c r="K15" s="5">
        <f t="shared" ref="K15:O15" si="6">C15/215</f>
        <v>0.27906976744186046</v>
      </c>
      <c r="L15" s="5">
        <f t="shared" si="6"/>
        <v>0.23720930232558141</v>
      </c>
      <c r="M15" s="5">
        <f t="shared" si="6"/>
        <v>0.12093023255813953</v>
      </c>
      <c r="N15" s="5">
        <f t="shared" si="6"/>
        <v>0.11162790697674418</v>
      </c>
      <c r="O15" s="5">
        <f t="shared" si="6"/>
        <v>1</v>
      </c>
    </row>
    <row r="16" spans="1:15" x14ac:dyDescent="0.25">
      <c r="A16" s="18" t="s">
        <v>761</v>
      </c>
      <c r="B16" s="4">
        <v>34</v>
      </c>
      <c r="C16" s="4">
        <v>34</v>
      </c>
      <c r="D16" s="4">
        <v>52</v>
      </c>
      <c r="E16" s="4">
        <v>32</v>
      </c>
      <c r="F16" s="4">
        <v>62</v>
      </c>
      <c r="G16" s="4">
        <f t="shared" si="4"/>
        <v>214</v>
      </c>
      <c r="I16" s="18" t="s">
        <v>761</v>
      </c>
      <c r="J16" s="5">
        <f>B16/214</f>
        <v>0.15887850467289719</v>
      </c>
      <c r="K16" s="5">
        <f t="shared" ref="K16:O16" si="7">C16/214</f>
        <v>0.15887850467289719</v>
      </c>
      <c r="L16" s="5">
        <f t="shared" si="7"/>
        <v>0.24299065420560748</v>
      </c>
      <c r="M16" s="5">
        <f t="shared" si="7"/>
        <v>0.14953271028037382</v>
      </c>
      <c r="N16" s="5">
        <f t="shared" si="7"/>
        <v>0.28971962616822428</v>
      </c>
      <c r="O16" s="5">
        <f t="shared" si="7"/>
        <v>1</v>
      </c>
    </row>
    <row r="17" spans="1:15" x14ac:dyDescent="0.25">
      <c r="A17" s="18" t="s">
        <v>762</v>
      </c>
      <c r="B17" s="4">
        <v>20</v>
      </c>
      <c r="C17" s="4">
        <v>28</v>
      </c>
      <c r="D17" s="4">
        <v>58</v>
      </c>
      <c r="E17" s="4">
        <v>58</v>
      </c>
      <c r="F17" s="4">
        <v>49</v>
      </c>
      <c r="G17" s="4">
        <f t="shared" si="4"/>
        <v>213</v>
      </c>
      <c r="I17" s="18" t="s">
        <v>762</v>
      </c>
      <c r="J17" s="5">
        <f>B17/213</f>
        <v>9.3896713615023469E-2</v>
      </c>
      <c r="K17" s="5">
        <f t="shared" ref="K17:O17" si="8">C17/213</f>
        <v>0.13145539906103287</v>
      </c>
      <c r="L17" s="5">
        <f t="shared" si="8"/>
        <v>0.27230046948356806</v>
      </c>
      <c r="M17" s="5">
        <f t="shared" si="8"/>
        <v>0.27230046948356806</v>
      </c>
      <c r="N17" s="5">
        <f t="shared" si="8"/>
        <v>0.2300469483568075</v>
      </c>
      <c r="O17" s="5">
        <f t="shared" si="8"/>
        <v>1</v>
      </c>
    </row>
    <row r="18" spans="1:15" x14ac:dyDescent="0.25">
      <c r="A18" s="18" t="s">
        <v>763</v>
      </c>
      <c r="B18" s="4">
        <v>31</v>
      </c>
      <c r="C18" s="4">
        <v>40</v>
      </c>
      <c r="D18" s="4">
        <v>49</v>
      </c>
      <c r="E18" s="4">
        <v>48</v>
      </c>
      <c r="F18" s="4">
        <v>42</v>
      </c>
      <c r="G18" s="4">
        <f t="shared" si="4"/>
        <v>210</v>
      </c>
      <c r="I18" s="18" t="s">
        <v>763</v>
      </c>
      <c r="J18" s="5">
        <f>B18/210</f>
        <v>0.14761904761904762</v>
      </c>
      <c r="K18" s="5">
        <f t="shared" ref="K18:O18" si="9">C18/210</f>
        <v>0.19047619047619047</v>
      </c>
      <c r="L18" s="5">
        <f t="shared" si="9"/>
        <v>0.23333333333333334</v>
      </c>
      <c r="M18" s="5">
        <f t="shared" si="9"/>
        <v>0.22857142857142856</v>
      </c>
      <c r="N18" s="5">
        <f t="shared" si="9"/>
        <v>0.2</v>
      </c>
      <c r="O18" s="5">
        <f t="shared" si="9"/>
        <v>1</v>
      </c>
    </row>
    <row r="19" spans="1:15" ht="30" x14ac:dyDescent="0.25">
      <c r="A19" s="18" t="s">
        <v>764</v>
      </c>
      <c r="B19" s="4">
        <v>9</v>
      </c>
      <c r="C19" s="4">
        <v>15</v>
      </c>
      <c r="D19" s="4">
        <v>35</v>
      </c>
      <c r="E19" s="4">
        <v>43</v>
      </c>
      <c r="F19" s="4">
        <v>112</v>
      </c>
      <c r="G19" s="4">
        <f t="shared" si="4"/>
        <v>214</v>
      </c>
      <c r="I19" s="18" t="s">
        <v>831</v>
      </c>
      <c r="J19" s="5">
        <f>B19/214</f>
        <v>4.2056074766355138E-2</v>
      </c>
      <c r="K19" s="5">
        <f t="shared" ref="K19:O19" si="10">C19/214</f>
        <v>7.0093457943925228E-2</v>
      </c>
      <c r="L19" s="5">
        <f t="shared" si="10"/>
        <v>0.16355140186915887</v>
      </c>
      <c r="M19" s="5">
        <f t="shared" si="10"/>
        <v>0.20093457943925233</v>
      </c>
      <c r="N19" s="5">
        <f t="shared" si="10"/>
        <v>0.52336448598130836</v>
      </c>
      <c r="O19" s="5">
        <f t="shared" si="10"/>
        <v>1</v>
      </c>
    </row>
    <row r="20" spans="1:15" ht="30" x14ac:dyDescent="0.25">
      <c r="A20" s="18" t="s">
        <v>765</v>
      </c>
      <c r="B20" s="4">
        <v>8</v>
      </c>
      <c r="C20" s="4">
        <v>8</v>
      </c>
      <c r="D20" s="4">
        <v>38</v>
      </c>
      <c r="E20" s="4">
        <v>60</v>
      </c>
      <c r="F20" s="4">
        <v>101</v>
      </c>
      <c r="G20" s="4">
        <f t="shared" si="4"/>
        <v>215</v>
      </c>
      <c r="I20" s="18" t="s">
        <v>765</v>
      </c>
      <c r="J20" s="5">
        <f>B20/215</f>
        <v>3.7209302325581395E-2</v>
      </c>
      <c r="K20" s="5">
        <f t="shared" ref="K20:O20" si="11">C20/215</f>
        <v>3.7209302325581395E-2</v>
      </c>
      <c r="L20" s="5">
        <f t="shared" si="11"/>
        <v>0.17674418604651163</v>
      </c>
      <c r="M20" s="5">
        <f t="shared" si="11"/>
        <v>0.27906976744186046</v>
      </c>
      <c r="N20" s="5">
        <f t="shared" si="11"/>
        <v>0.4697674418604651</v>
      </c>
      <c r="O20" s="5">
        <f t="shared" si="11"/>
        <v>1</v>
      </c>
    </row>
    <row r="23" spans="1:15" x14ac:dyDescent="0.25">
      <c r="A23" s="3" t="s">
        <v>766</v>
      </c>
    </row>
    <row r="25" spans="1:15" ht="30" x14ac:dyDescent="0.25">
      <c r="A25" s="18"/>
      <c r="B25" s="19" t="s">
        <v>97</v>
      </c>
      <c r="C25" s="19" t="s">
        <v>98</v>
      </c>
      <c r="D25" s="19" t="s">
        <v>99</v>
      </c>
      <c r="E25" s="19" t="s">
        <v>100</v>
      </c>
      <c r="F25" s="19" t="s">
        <v>53</v>
      </c>
      <c r="I25" s="18"/>
      <c r="J25" s="19" t="s">
        <v>97</v>
      </c>
      <c r="K25" s="19" t="s">
        <v>98</v>
      </c>
      <c r="L25" s="19" t="s">
        <v>99</v>
      </c>
      <c r="M25" s="19" t="s">
        <v>100</v>
      </c>
      <c r="N25" s="19" t="s">
        <v>53</v>
      </c>
    </row>
    <row r="26" spans="1:15" ht="30" x14ac:dyDescent="0.25">
      <c r="A26" s="18" t="s">
        <v>767</v>
      </c>
      <c r="B26" s="4">
        <v>7</v>
      </c>
      <c r="C26" s="4">
        <v>56</v>
      </c>
      <c r="D26" s="4">
        <v>78</v>
      </c>
      <c r="E26" s="4">
        <v>66</v>
      </c>
      <c r="F26" s="4">
        <f>SUM(B26:E26)</f>
        <v>207</v>
      </c>
      <c r="I26" s="18" t="s">
        <v>767</v>
      </c>
      <c r="J26" s="5">
        <f>B26/207</f>
        <v>3.3816425120772944E-2</v>
      </c>
      <c r="K26" s="5">
        <f t="shared" ref="K26:N26" si="12">C26/207</f>
        <v>0.27053140096618356</v>
      </c>
      <c r="L26" s="5">
        <f t="shared" si="12"/>
        <v>0.37681159420289856</v>
      </c>
      <c r="M26" s="5">
        <f t="shared" si="12"/>
        <v>0.3188405797101449</v>
      </c>
      <c r="N26" s="5">
        <f t="shared" si="12"/>
        <v>1</v>
      </c>
    </row>
    <row r="27" spans="1:15" ht="30" x14ac:dyDescent="0.25">
      <c r="A27" s="18" t="s">
        <v>768</v>
      </c>
      <c r="B27" s="4">
        <v>42</v>
      </c>
      <c r="C27" s="4">
        <v>55</v>
      </c>
      <c r="D27" s="4">
        <v>79</v>
      </c>
      <c r="E27" s="4">
        <v>33</v>
      </c>
      <c r="F27" s="4">
        <f t="shared" ref="F27:F29" si="13">SUM(B27:E27)</f>
        <v>209</v>
      </c>
      <c r="I27" s="18" t="s">
        <v>768</v>
      </c>
      <c r="J27" s="5">
        <f>B27/209</f>
        <v>0.20095693779904306</v>
      </c>
      <c r="K27" s="5">
        <f t="shared" ref="K27:N27" si="14">C27/209</f>
        <v>0.26315789473684209</v>
      </c>
      <c r="L27" s="5">
        <f t="shared" si="14"/>
        <v>0.37799043062200954</v>
      </c>
      <c r="M27" s="5">
        <f t="shared" si="14"/>
        <v>0.15789473684210525</v>
      </c>
      <c r="N27" s="5">
        <f t="shared" si="14"/>
        <v>1</v>
      </c>
    </row>
    <row r="28" spans="1:15" x14ac:dyDescent="0.25">
      <c r="A28" s="18" t="s">
        <v>769</v>
      </c>
      <c r="B28" s="4">
        <v>3</v>
      </c>
      <c r="C28" s="4">
        <v>14</v>
      </c>
      <c r="D28" s="4">
        <v>44</v>
      </c>
      <c r="E28" s="4">
        <v>147</v>
      </c>
      <c r="F28" s="4">
        <f t="shared" si="13"/>
        <v>208</v>
      </c>
      <c r="I28" s="18" t="s">
        <v>769</v>
      </c>
      <c r="J28" s="5">
        <f>B28/208</f>
        <v>1.4423076923076924E-2</v>
      </c>
      <c r="K28" s="5">
        <f t="shared" ref="K28:N28" si="15">C28/208</f>
        <v>6.7307692307692304E-2</v>
      </c>
      <c r="L28" s="5">
        <f t="shared" si="15"/>
        <v>0.21153846153846154</v>
      </c>
      <c r="M28" s="5">
        <f t="shared" si="15"/>
        <v>0.70673076923076927</v>
      </c>
      <c r="N28" s="5">
        <f t="shared" si="15"/>
        <v>1</v>
      </c>
    </row>
    <row r="29" spans="1:15" ht="30" x14ac:dyDescent="0.25">
      <c r="A29" s="18" t="s">
        <v>770</v>
      </c>
      <c r="B29" s="4">
        <v>4</v>
      </c>
      <c r="C29" s="4">
        <v>41</v>
      </c>
      <c r="D29" s="4">
        <v>52</v>
      </c>
      <c r="E29" s="4">
        <v>89</v>
      </c>
      <c r="F29" s="4">
        <f t="shared" si="13"/>
        <v>186</v>
      </c>
      <c r="I29" s="18" t="s">
        <v>770</v>
      </c>
      <c r="J29" s="5">
        <f>B29/186</f>
        <v>2.1505376344086023E-2</v>
      </c>
      <c r="K29" s="5">
        <f t="shared" ref="K29:N29" si="16">C29/186</f>
        <v>0.22043010752688172</v>
      </c>
      <c r="L29" s="5">
        <f t="shared" si="16"/>
        <v>0.27956989247311825</v>
      </c>
      <c r="M29" s="5">
        <f t="shared" si="16"/>
        <v>0.478494623655914</v>
      </c>
      <c r="N29" s="5">
        <f t="shared" si="16"/>
        <v>1</v>
      </c>
    </row>
    <row r="32" spans="1:15" x14ac:dyDescent="0.25">
      <c r="A32" s="3" t="s">
        <v>771</v>
      </c>
    </row>
    <row r="34" spans="1:14" ht="30" x14ac:dyDescent="0.25">
      <c r="A34" s="4"/>
      <c r="B34" s="18" t="s">
        <v>145</v>
      </c>
      <c r="C34" s="18" t="s">
        <v>146</v>
      </c>
      <c r="D34" s="18" t="s">
        <v>147</v>
      </c>
      <c r="E34" s="18" t="s">
        <v>148</v>
      </c>
      <c r="F34" s="18" t="s">
        <v>53</v>
      </c>
      <c r="I34" s="4"/>
      <c r="J34" s="18" t="s">
        <v>145</v>
      </c>
      <c r="K34" s="18" t="s">
        <v>146</v>
      </c>
      <c r="L34" s="18" t="s">
        <v>147</v>
      </c>
      <c r="M34" s="18" t="s">
        <v>148</v>
      </c>
      <c r="N34" s="18" t="s">
        <v>53</v>
      </c>
    </row>
    <row r="35" spans="1:14" x14ac:dyDescent="0.25">
      <c r="A35" s="4" t="s">
        <v>772</v>
      </c>
      <c r="B35" s="4">
        <v>64</v>
      </c>
      <c r="C35" s="4">
        <v>35</v>
      </c>
      <c r="D35" s="4">
        <v>58</v>
      </c>
      <c r="E35" s="4">
        <v>56</v>
      </c>
      <c r="F35" s="4">
        <f>SUM(B35:E35)</f>
        <v>213</v>
      </c>
      <c r="I35" s="4" t="s">
        <v>772</v>
      </c>
      <c r="J35" s="5">
        <f>B35/213</f>
        <v>0.30046948356807512</v>
      </c>
      <c r="K35" s="5">
        <f t="shared" ref="K35:M35" si="17">C35/213</f>
        <v>0.16431924882629109</v>
      </c>
      <c r="L35" s="5">
        <f t="shared" si="17"/>
        <v>0.27230046948356806</v>
      </c>
      <c r="M35" s="5">
        <f t="shared" si="17"/>
        <v>0.26291079812206575</v>
      </c>
      <c r="N35" s="5">
        <f>F35/213</f>
        <v>1</v>
      </c>
    </row>
    <row r="36" spans="1:14" x14ac:dyDescent="0.25">
      <c r="A36" s="4" t="s">
        <v>773</v>
      </c>
      <c r="B36" s="4">
        <v>4</v>
      </c>
      <c r="C36" s="4">
        <v>14</v>
      </c>
      <c r="D36" s="4">
        <v>37</v>
      </c>
      <c r="E36" s="4">
        <v>157</v>
      </c>
      <c r="F36" s="4">
        <f>SUM(B36:E36)</f>
        <v>212</v>
      </c>
      <c r="I36" s="4" t="s">
        <v>773</v>
      </c>
      <c r="J36" s="5">
        <f>B36/212</f>
        <v>1.8867924528301886E-2</v>
      </c>
      <c r="K36" s="5">
        <f t="shared" ref="K36:M36" si="18">C36/212</f>
        <v>6.6037735849056603E-2</v>
      </c>
      <c r="L36" s="5">
        <f t="shared" si="18"/>
        <v>0.17452830188679244</v>
      </c>
      <c r="M36" s="5">
        <f t="shared" si="18"/>
        <v>0.74056603773584906</v>
      </c>
      <c r="N36" s="5">
        <f>F36/212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workbookViewId="0">
      <selection activeCell="I16" sqref="H3:L19"/>
    </sheetView>
  </sheetViews>
  <sheetFormatPr defaultRowHeight="15" x14ac:dyDescent="0.25"/>
  <cols>
    <col min="1" max="1" width="48.5703125" customWidth="1"/>
    <col min="2" max="2" width="11.7109375" customWidth="1"/>
    <col min="3" max="3" width="11.28515625" customWidth="1"/>
    <col min="4" max="4" width="11.85546875" customWidth="1"/>
    <col min="5" max="5" width="13.28515625" customWidth="1"/>
    <col min="10" max="10" width="55.42578125" customWidth="1"/>
    <col min="12" max="12" width="10.7109375" customWidth="1"/>
    <col min="13" max="13" width="14" customWidth="1"/>
    <col min="14" max="14" width="12.140625" customWidth="1"/>
  </cols>
  <sheetData>
    <row r="1" spans="1:16" x14ac:dyDescent="0.25">
      <c r="A1" s="3" t="s">
        <v>776</v>
      </c>
    </row>
    <row r="3" spans="1:16" x14ac:dyDescent="0.25">
      <c r="A3" s="4"/>
      <c r="B3" s="4" t="s">
        <v>779</v>
      </c>
      <c r="C3" s="4" t="s">
        <v>250</v>
      </c>
      <c r="D3" s="4" t="s">
        <v>251</v>
      </c>
      <c r="E3" s="4" t="s">
        <v>780</v>
      </c>
      <c r="F3" s="4" t="s">
        <v>717</v>
      </c>
      <c r="G3" s="4" t="s">
        <v>53</v>
      </c>
      <c r="J3" s="4"/>
      <c r="K3" s="4" t="s">
        <v>779</v>
      </c>
      <c r="L3" s="4" t="s">
        <v>250</v>
      </c>
      <c r="M3" s="4" t="s">
        <v>251</v>
      </c>
      <c r="N3" s="4" t="s">
        <v>780</v>
      </c>
      <c r="O3" s="4" t="s">
        <v>717</v>
      </c>
      <c r="P3" s="4" t="s">
        <v>53</v>
      </c>
    </row>
    <row r="4" spans="1:16" ht="30" x14ac:dyDescent="0.25">
      <c r="A4" s="18" t="s">
        <v>777</v>
      </c>
      <c r="B4" s="4">
        <v>10</v>
      </c>
      <c r="C4" s="4">
        <v>16</v>
      </c>
      <c r="D4" s="4">
        <v>9</v>
      </c>
      <c r="E4" s="4">
        <v>4</v>
      </c>
      <c r="F4" s="4">
        <v>5</v>
      </c>
      <c r="G4" s="4">
        <f>SUM(B4:F4)</f>
        <v>44</v>
      </c>
      <c r="J4" s="18" t="s">
        <v>777</v>
      </c>
      <c r="K4" s="5">
        <f>B4/44</f>
        <v>0.22727272727272727</v>
      </c>
      <c r="L4" s="5">
        <f t="shared" ref="L4:P5" si="0">C4/44</f>
        <v>0.36363636363636365</v>
      </c>
      <c r="M4" s="5">
        <f t="shared" si="0"/>
        <v>0.20454545454545456</v>
      </c>
      <c r="N4" s="5">
        <f t="shared" si="0"/>
        <v>9.0909090909090912E-2</v>
      </c>
      <c r="O4" s="5">
        <f t="shared" si="0"/>
        <v>0.11363636363636363</v>
      </c>
      <c r="P4" s="5">
        <f t="shared" si="0"/>
        <v>1</v>
      </c>
    </row>
    <row r="5" spans="1:16" x14ac:dyDescent="0.25">
      <c r="A5" s="4" t="s">
        <v>778</v>
      </c>
      <c r="B5" s="4">
        <v>4</v>
      </c>
      <c r="C5" s="4">
        <v>8</v>
      </c>
      <c r="D5" s="4">
        <v>13</v>
      </c>
      <c r="E5" s="4">
        <v>12</v>
      </c>
      <c r="F5" s="4">
        <v>7</v>
      </c>
      <c r="G5" s="4">
        <f>SUM(B5:F5)</f>
        <v>44</v>
      </c>
      <c r="J5" s="4" t="s">
        <v>778</v>
      </c>
      <c r="K5" s="5">
        <f>B5/44</f>
        <v>9.0909090909090912E-2</v>
      </c>
      <c r="L5" s="5">
        <f t="shared" si="0"/>
        <v>0.18181818181818182</v>
      </c>
      <c r="M5" s="5">
        <f t="shared" si="0"/>
        <v>0.29545454545454547</v>
      </c>
      <c r="N5" s="5">
        <f t="shared" si="0"/>
        <v>0.27272727272727271</v>
      </c>
      <c r="O5" s="5">
        <f t="shared" si="0"/>
        <v>0.15909090909090909</v>
      </c>
      <c r="P5" s="5">
        <f t="shared" si="0"/>
        <v>1</v>
      </c>
    </row>
    <row r="8" spans="1:16" x14ac:dyDescent="0.25">
      <c r="A8" s="3" t="s">
        <v>782</v>
      </c>
    </row>
    <row r="10" spans="1:16" x14ac:dyDescent="0.25">
      <c r="A10" s="4"/>
      <c r="B10" s="4" t="s">
        <v>779</v>
      </c>
      <c r="C10" s="4" t="s">
        <v>250</v>
      </c>
      <c r="D10" s="4" t="s">
        <v>251</v>
      </c>
      <c r="E10" s="4" t="s">
        <v>780</v>
      </c>
      <c r="F10" s="4" t="s">
        <v>717</v>
      </c>
      <c r="G10" s="4" t="s">
        <v>53</v>
      </c>
      <c r="J10" s="4"/>
      <c r="K10" s="4" t="s">
        <v>779</v>
      </c>
      <c r="L10" s="4" t="s">
        <v>250</v>
      </c>
      <c r="M10" s="4" t="s">
        <v>251</v>
      </c>
      <c r="N10" s="4" t="s">
        <v>780</v>
      </c>
      <c r="O10" s="4" t="s">
        <v>717</v>
      </c>
      <c r="P10" s="4" t="s">
        <v>53</v>
      </c>
    </row>
    <row r="11" spans="1:16" ht="30" x14ac:dyDescent="0.25">
      <c r="A11" s="18" t="s">
        <v>783</v>
      </c>
      <c r="B11" s="4">
        <v>19</v>
      </c>
      <c r="C11" s="4">
        <v>16</v>
      </c>
      <c r="D11" s="4">
        <v>4</v>
      </c>
      <c r="E11" s="4">
        <v>1</v>
      </c>
      <c r="F11" s="4">
        <v>3</v>
      </c>
      <c r="G11" s="4">
        <f>SUM(B11:F11)</f>
        <v>43</v>
      </c>
      <c r="J11" s="18" t="s">
        <v>835</v>
      </c>
      <c r="K11" s="5">
        <f>B11/43</f>
        <v>0.44186046511627908</v>
      </c>
      <c r="L11" s="5">
        <f t="shared" ref="L11:P20" si="1">C11/43</f>
        <v>0.37209302325581395</v>
      </c>
      <c r="M11" s="5">
        <f t="shared" si="1"/>
        <v>9.3023255813953487E-2</v>
      </c>
      <c r="N11" s="5">
        <f t="shared" si="1"/>
        <v>2.3255813953488372E-2</v>
      </c>
      <c r="O11" s="5">
        <f t="shared" si="1"/>
        <v>6.9767441860465115E-2</v>
      </c>
      <c r="P11" s="5">
        <f t="shared" si="1"/>
        <v>1</v>
      </c>
    </row>
    <row r="12" spans="1:16" x14ac:dyDescent="0.25">
      <c r="A12" s="18" t="s">
        <v>784</v>
      </c>
      <c r="B12" s="4">
        <v>8</v>
      </c>
      <c r="C12" s="4">
        <v>14</v>
      </c>
      <c r="D12" s="4">
        <v>13</v>
      </c>
      <c r="E12" s="4">
        <v>4</v>
      </c>
      <c r="F12" s="4">
        <v>4</v>
      </c>
      <c r="G12" s="4">
        <f t="shared" ref="G12:G20" si="2">SUM(B12:F12)</f>
        <v>43</v>
      </c>
      <c r="J12" s="18" t="s">
        <v>784</v>
      </c>
      <c r="K12" s="5">
        <f t="shared" ref="K12:K20" si="3">B12/43</f>
        <v>0.18604651162790697</v>
      </c>
      <c r="L12" s="5">
        <f t="shared" si="1"/>
        <v>0.32558139534883723</v>
      </c>
      <c r="M12" s="5">
        <f t="shared" si="1"/>
        <v>0.30232558139534882</v>
      </c>
      <c r="N12" s="5">
        <f t="shared" si="1"/>
        <v>9.3023255813953487E-2</v>
      </c>
      <c r="O12" s="5">
        <f t="shared" si="1"/>
        <v>9.3023255813953487E-2</v>
      </c>
      <c r="P12" s="5">
        <f t="shared" si="1"/>
        <v>1</v>
      </c>
    </row>
    <row r="13" spans="1:16" x14ac:dyDescent="0.25">
      <c r="A13" s="18" t="s">
        <v>785</v>
      </c>
      <c r="B13" s="4">
        <v>11</v>
      </c>
      <c r="C13" s="4">
        <v>18</v>
      </c>
      <c r="D13" s="4">
        <v>6</v>
      </c>
      <c r="E13" s="4">
        <v>4</v>
      </c>
      <c r="F13" s="4">
        <v>4</v>
      </c>
      <c r="G13" s="4">
        <f t="shared" si="2"/>
        <v>43</v>
      </c>
      <c r="J13" s="18" t="s">
        <v>785</v>
      </c>
      <c r="K13" s="5">
        <f t="shared" si="3"/>
        <v>0.2558139534883721</v>
      </c>
      <c r="L13" s="5">
        <f t="shared" si="1"/>
        <v>0.41860465116279072</v>
      </c>
      <c r="M13" s="5">
        <f t="shared" si="1"/>
        <v>0.13953488372093023</v>
      </c>
      <c r="N13" s="5">
        <f t="shared" si="1"/>
        <v>9.3023255813953487E-2</v>
      </c>
      <c r="O13" s="5">
        <f t="shared" si="1"/>
        <v>9.3023255813953487E-2</v>
      </c>
      <c r="P13" s="5">
        <f t="shared" si="1"/>
        <v>1</v>
      </c>
    </row>
    <row r="14" spans="1:16" x14ac:dyDescent="0.25">
      <c r="A14" s="18" t="s">
        <v>786</v>
      </c>
      <c r="B14" s="4">
        <v>10</v>
      </c>
      <c r="C14" s="4">
        <v>19</v>
      </c>
      <c r="D14" s="4">
        <v>6</v>
      </c>
      <c r="E14" s="4">
        <v>4</v>
      </c>
      <c r="F14" s="4">
        <v>4</v>
      </c>
      <c r="G14" s="4">
        <f t="shared" si="2"/>
        <v>43</v>
      </c>
      <c r="J14" s="18" t="s">
        <v>786</v>
      </c>
      <c r="K14" s="5">
        <f t="shared" si="3"/>
        <v>0.23255813953488372</v>
      </c>
      <c r="L14" s="5">
        <f t="shared" si="1"/>
        <v>0.44186046511627908</v>
      </c>
      <c r="M14" s="5">
        <f t="shared" si="1"/>
        <v>0.13953488372093023</v>
      </c>
      <c r="N14" s="5">
        <f t="shared" si="1"/>
        <v>9.3023255813953487E-2</v>
      </c>
      <c r="O14" s="5">
        <f t="shared" si="1"/>
        <v>9.3023255813953487E-2</v>
      </c>
      <c r="P14" s="5">
        <f t="shared" si="1"/>
        <v>1</v>
      </c>
    </row>
    <row r="15" spans="1:16" x14ac:dyDescent="0.25">
      <c r="A15" s="18" t="s">
        <v>787</v>
      </c>
      <c r="B15" s="4">
        <v>13</v>
      </c>
      <c r="C15" s="4">
        <v>15</v>
      </c>
      <c r="D15" s="4">
        <v>7</v>
      </c>
      <c r="E15" s="4">
        <v>4</v>
      </c>
      <c r="F15" s="4">
        <v>4</v>
      </c>
      <c r="G15" s="4">
        <f t="shared" si="2"/>
        <v>43</v>
      </c>
      <c r="J15" s="18" t="s">
        <v>787</v>
      </c>
      <c r="K15" s="5">
        <f t="shared" si="3"/>
        <v>0.30232558139534882</v>
      </c>
      <c r="L15" s="5">
        <f t="shared" si="1"/>
        <v>0.34883720930232559</v>
      </c>
      <c r="M15" s="5">
        <f t="shared" si="1"/>
        <v>0.16279069767441862</v>
      </c>
      <c r="N15" s="5">
        <f t="shared" si="1"/>
        <v>9.3023255813953487E-2</v>
      </c>
      <c r="O15" s="5">
        <f t="shared" si="1"/>
        <v>9.3023255813953487E-2</v>
      </c>
      <c r="P15" s="5">
        <f t="shared" si="1"/>
        <v>1</v>
      </c>
    </row>
    <row r="16" spans="1:16" x14ac:dyDescent="0.25">
      <c r="A16" s="18" t="s">
        <v>788</v>
      </c>
      <c r="B16" s="4">
        <v>8</v>
      </c>
      <c r="C16" s="4">
        <v>16</v>
      </c>
      <c r="D16" s="4">
        <v>10</v>
      </c>
      <c r="E16" s="4">
        <v>4</v>
      </c>
      <c r="F16" s="4">
        <v>5</v>
      </c>
      <c r="G16" s="4">
        <f t="shared" si="2"/>
        <v>43</v>
      </c>
      <c r="J16" s="18" t="s">
        <v>788</v>
      </c>
      <c r="K16" s="5">
        <f t="shared" si="3"/>
        <v>0.18604651162790697</v>
      </c>
      <c r="L16" s="5">
        <f t="shared" si="1"/>
        <v>0.37209302325581395</v>
      </c>
      <c r="M16" s="5">
        <f t="shared" si="1"/>
        <v>0.23255813953488372</v>
      </c>
      <c r="N16" s="5">
        <f t="shared" si="1"/>
        <v>9.3023255813953487E-2</v>
      </c>
      <c r="O16" s="5">
        <f t="shared" si="1"/>
        <v>0.11627906976744186</v>
      </c>
      <c r="P16" s="5">
        <f t="shared" si="1"/>
        <v>1</v>
      </c>
    </row>
    <row r="17" spans="1:16" x14ac:dyDescent="0.25">
      <c r="A17" s="18" t="s">
        <v>789</v>
      </c>
      <c r="B17" s="4">
        <v>20</v>
      </c>
      <c r="C17" s="4">
        <v>19</v>
      </c>
      <c r="D17" s="4">
        <v>3</v>
      </c>
      <c r="E17" s="4">
        <v>0</v>
      </c>
      <c r="F17" s="4">
        <v>1</v>
      </c>
      <c r="G17" s="4">
        <f t="shared" si="2"/>
        <v>43</v>
      </c>
      <c r="J17" s="18" t="s">
        <v>789</v>
      </c>
      <c r="K17" s="5">
        <f t="shared" si="3"/>
        <v>0.46511627906976744</v>
      </c>
      <c r="L17" s="5">
        <f t="shared" si="1"/>
        <v>0.44186046511627908</v>
      </c>
      <c r="M17" s="5">
        <f t="shared" si="1"/>
        <v>6.9767441860465115E-2</v>
      </c>
      <c r="N17" s="5">
        <f t="shared" si="1"/>
        <v>0</v>
      </c>
      <c r="O17" s="5">
        <f t="shared" si="1"/>
        <v>2.3255813953488372E-2</v>
      </c>
      <c r="P17" s="5">
        <f t="shared" si="1"/>
        <v>1</v>
      </c>
    </row>
    <row r="18" spans="1:16" ht="30" x14ac:dyDescent="0.25">
      <c r="A18" s="18" t="s">
        <v>790</v>
      </c>
      <c r="B18" s="4">
        <v>19</v>
      </c>
      <c r="C18" s="4">
        <v>12</v>
      </c>
      <c r="D18" s="4">
        <v>9</v>
      </c>
      <c r="E18" s="4">
        <v>1</v>
      </c>
      <c r="F18" s="4">
        <v>2</v>
      </c>
      <c r="G18" s="4">
        <f t="shared" si="2"/>
        <v>43</v>
      </c>
      <c r="J18" s="18" t="s">
        <v>790</v>
      </c>
      <c r="K18" s="5">
        <f t="shared" si="3"/>
        <v>0.44186046511627908</v>
      </c>
      <c r="L18" s="5">
        <f t="shared" si="1"/>
        <v>0.27906976744186046</v>
      </c>
      <c r="M18" s="5">
        <f t="shared" si="1"/>
        <v>0.20930232558139536</v>
      </c>
      <c r="N18" s="5">
        <f t="shared" si="1"/>
        <v>2.3255813953488372E-2</v>
      </c>
      <c r="O18" s="5">
        <f t="shared" si="1"/>
        <v>4.6511627906976744E-2</v>
      </c>
      <c r="P18" s="5">
        <f t="shared" si="1"/>
        <v>1</v>
      </c>
    </row>
    <row r="19" spans="1:16" x14ac:dyDescent="0.25">
      <c r="A19" s="18" t="s">
        <v>791</v>
      </c>
      <c r="B19" s="4">
        <v>25</v>
      </c>
      <c r="C19" s="4">
        <v>14</v>
      </c>
      <c r="D19" s="4">
        <v>2</v>
      </c>
      <c r="E19" s="4">
        <v>1</v>
      </c>
      <c r="F19" s="4">
        <v>1</v>
      </c>
      <c r="G19" s="4">
        <f t="shared" si="2"/>
        <v>43</v>
      </c>
      <c r="J19" s="18" t="s">
        <v>791</v>
      </c>
      <c r="K19" s="5">
        <f t="shared" si="3"/>
        <v>0.58139534883720934</v>
      </c>
      <c r="L19" s="5">
        <f t="shared" si="1"/>
        <v>0.32558139534883723</v>
      </c>
      <c r="M19" s="5">
        <f t="shared" si="1"/>
        <v>4.6511627906976744E-2</v>
      </c>
      <c r="N19" s="5">
        <f t="shared" si="1"/>
        <v>2.3255813953488372E-2</v>
      </c>
      <c r="O19" s="5">
        <f t="shared" si="1"/>
        <v>2.3255813953488372E-2</v>
      </c>
      <c r="P19" s="5">
        <f t="shared" si="1"/>
        <v>1</v>
      </c>
    </row>
    <row r="20" spans="1:16" ht="30" x14ac:dyDescent="0.25">
      <c r="A20" s="18" t="s">
        <v>792</v>
      </c>
      <c r="B20" s="4">
        <v>20</v>
      </c>
      <c r="C20" s="4">
        <v>13</v>
      </c>
      <c r="D20" s="4">
        <v>7</v>
      </c>
      <c r="E20" s="4">
        <v>2</v>
      </c>
      <c r="F20" s="4">
        <v>1</v>
      </c>
      <c r="G20" s="4">
        <f t="shared" si="2"/>
        <v>43</v>
      </c>
      <c r="J20" s="18" t="s">
        <v>792</v>
      </c>
      <c r="K20" s="5">
        <f t="shared" si="3"/>
        <v>0.46511627906976744</v>
      </c>
      <c r="L20" s="5">
        <f t="shared" si="1"/>
        <v>0.30232558139534882</v>
      </c>
      <c r="M20" s="5">
        <f t="shared" si="1"/>
        <v>0.16279069767441862</v>
      </c>
      <c r="N20" s="5">
        <f t="shared" si="1"/>
        <v>4.6511627906976744E-2</v>
      </c>
      <c r="O20" s="5">
        <f t="shared" si="1"/>
        <v>2.3255813953488372E-2</v>
      </c>
      <c r="P20" s="5">
        <f t="shared" si="1"/>
        <v>1</v>
      </c>
    </row>
    <row r="23" spans="1:16" x14ac:dyDescent="0.25">
      <c r="A23" s="3" t="s">
        <v>793</v>
      </c>
    </row>
    <row r="25" spans="1:16" ht="45" x14ac:dyDescent="0.25">
      <c r="A25" s="4"/>
      <c r="B25" s="19" t="s">
        <v>97</v>
      </c>
      <c r="C25" s="19" t="s">
        <v>98</v>
      </c>
      <c r="D25" s="4" t="s">
        <v>739</v>
      </c>
      <c r="E25" s="19" t="s">
        <v>99</v>
      </c>
      <c r="F25" s="19" t="s">
        <v>100</v>
      </c>
      <c r="G25" s="19" t="s">
        <v>53</v>
      </c>
      <c r="J25" s="4"/>
      <c r="K25" s="19" t="s">
        <v>97</v>
      </c>
      <c r="L25" s="19" t="s">
        <v>98</v>
      </c>
      <c r="M25" s="4" t="s">
        <v>739</v>
      </c>
      <c r="N25" s="19" t="s">
        <v>99</v>
      </c>
      <c r="O25" s="19" t="s">
        <v>100</v>
      </c>
      <c r="P25" s="19" t="s">
        <v>53</v>
      </c>
    </row>
    <row r="26" spans="1:16" ht="30" x14ac:dyDescent="0.25">
      <c r="A26" s="18" t="s">
        <v>794</v>
      </c>
      <c r="B26" s="4">
        <v>1</v>
      </c>
      <c r="C26" s="4">
        <v>17</v>
      </c>
      <c r="D26" s="4">
        <v>22</v>
      </c>
      <c r="E26" s="4">
        <v>4</v>
      </c>
      <c r="F26" s="4">
        <v>0</v>
      </c>
      <c r="G26" s="4">
        <f>SUM(B26:F26)</f>
        <v>44</v>
      </c>
      <c r="J26" s="18" t="s">
        <v>794</v>
      </c>
      <c r="K26" s="5">
        <f>B26/44</f>
        <v>2.2727272727272728E-2</v>
      </c>
      <c r="L26" s="5">
        <f t="shared" ref="L26:P26" si="4">C26/44</f>
        <v>0.38636363636363635</v>
      </c>
      <c r="M26" s="5">
        <f t="shared" si="4"/>
        <v>0.5</v>
      </c>
      <c r="N26" s="5">
        <f t="shared" si="4"/>
        <v>9.0909090909090912E-2</v>
      </c>
      <c r="O26" s="5">
        <f t="shared" si="4"/>
        <v>0</v>
      </c>
      <c r="P26" s="5">
        <f t="shared" si="4"/>
        <v>1</v>
      </c>
    </row>
    <row r="27" spans="1:16" ht="30" x14ac:dyDescent="0.25">
      <c r="A27" s="18" t="s">
        <v>795</v>
      </c>
      <c r="B27" s="4">
        <v>4</v>
      </c>
      <c r="C27" s="4">
        <v>22</v>
      </c>
      <c r="D27" s="4">
        <v>14</v>
      </c>
      <c r="E27" s="4">
        <v>3</v>
      </c>
      <c r="F27" s="4">
        <v>0</v>
      </c>
      <c r="G27" s="4">
        <f t="shared" ref="G27:G29" si="5">SUM(B27:F27)</f>
        <v>43</v>
      </c>
      <c r="J27" s="18" t="s">
        <v>795</v>
      </c>
      <c r="K27" s="5">
        <f>B27/43</f>
        <v>9.3023255813953487E-2</v>
      </c>
      <c r="L27" s="5">
        <f t="shared" ref="L27:P27" si="6">C27/43</f>
        <v>0.51162790697674421</v>
      </c>
      <c r="M27" s="5">
        <f t="shared" si="6"/>
        <v>0.32558139534883723</v>
      </c>
      <c r="N27" s="5">
        <f t="shared" si="6"/>
        <v>6.9767441860465115E-2</v>
      </c>
      <c r="O27" s="5">
        <f t="shared" si="6"/>
        <v>0</v>
      </c>
      <c r="P27" s="5">
        <f t="shared" si="6"/>
        <v>1</v>
      </c>
    </row>
    <row r="28" spans="1:16" x14ac:dyDescent="0.25">
      <c r="A28" s="18" t="s">
        <v>796</v>
      </c>
      <c r="B28" s="4">
        <v>1</v>
      </c>
      <c r="C28" s="4">
        <v>25</v>
      </c>
      <c r="D28" s="4">
        <v>14</v>
      </c>
      <c r="E28" s="4">
        <v>4</v>
      </c>
      <c r="F28" s="4">
        <v>0</v>
      </c>
      <c r="G28" s="4">
        <f t="shared" si="5"/>
        <v>44</v>
      </c>
      <c r="J28" s="18" t="s">
        <v>796</v>
      </c>
      <c r="K28" s="5">
        <f>B28/44</f>
        <v>2.2727272727272728E-2</v>
      </c>
      <c r="L28" s="5">
        <f t="shared" ref="L28:P29" si="7">C28/44</f>
        <v>0.56818181818181823</v>
      </c>
      <c r="M28" s="5">
        <f t="shared" si="7"/>
        <v>0.31818181818181818</v>
      </c>
      <c r="N28" s="5">
        <f t="shared" si="7"/>
        <v>9.0909090909090912E-2</v>
      </c>
      <c r="O28" s="5">
        <f t="shared" si="7"/>
        <v>0</v>
      </c>
      <c r="P28" s="5">
        <f t="shared" si="7"/>
        <v>1</v>
      </c>
    </row>
    <row r="29" spans="1:16" x14ac:dyDescent="0.25">
      <c r="A29" s="18" t="s">
        <v>797</v>
      </c>
      <c r="B29" s="4">
        <v>1</v>
      </c>
      <c r="C29" s="4">
        <v>24</v>
      </c>
      <c r="D29" s="4">
        <v>16</v>
      </c>
      <c r="E29" s="4">
        <v>3</v>
      </c>
      <c r="F29" s="4">
        <v>0</v>
      </c>
      <c r="G29" s="4">
        <f t="shared" si="5"/>
        <v>44</v>
      </c>
      <c r="J29" s="18" t="s">
        <v>797</v>
      </c>
      <c r="K29" s="5">
        <f>B29/44</f>
        <v>2.2727272727272728E-2</v>
      </c>
      <c r="L29" s="5">
        <f t="shared" si="7"/>
        <v>0.54545454545454541</v>
      </c>
      <c r="M29" s="5">
        <f t="shared" si="7"/>
        <v>0.36363636363636365</v>
      </c>
      <c r="N29" s="5">
        <f t="shared" si="7"/>
        <v>6.8181818181818177E-2</v>
      </c>
      <c r="O29" s="5">
        <f t="shared" si="7"/>
        <v>0</v>
      </c>
      <c r="P29" s="5">
        <f t="shared" si="7"/>
        <v>1</v>
      </c>
    </row>
    <row r="32" spans="1:16" x14ac:dyDescent="0.25">
      <c r="A32" s="3" t="s">
        <v>799</v>
      </c>
    </row>
    <row r="34" spans="1:16" ht="45" x14ac:dyDescent="0.25">
      <c r="A34" s="4"/>
      <c r="B34" s="18" t="s">
        <v>178</v>
      </c>
      <c r="C34" s="18" t="s">
        <v>179</v>
      </c>
      <c r="D34" s="18" t="s">
        <v>180</v>
      </c>
      <c r="E34" s="18" t="s">
        <v>181</v>
      </c>
      <c r="F34" s="18" t="s">
        <v>182</v>
      </c>
      <c r="G34" s="4" t="s">
        <v>53</v>
      </c>
      <c r="J34" s="4"/>
      <c r="K34" s="18" t="s">
        <v>178</v>
      </c>
      <c r="L34" s="18" t="s">
        <v>179</v>
      </c>
      <c r="M34" s="18" t="s">
        <v>180</v>
      </c>
      <c r="N34" s="18" t="s">
        <v>181</v>
      </c>
      <c r="O34" s="18" t="s">
        <v>182</v>
      </c>
      <c r="P34" s="4" t="s">
        <v>53</v>
      </c>
    </row>
    <row r="35" spans="1:16" x14ac:dyDescent="0.25">
      <c r="A35" s="18" t="s">
        <v>800</v>
      </c>
      <c r="B35" s="4">
        <v>18</v>
      </c>
      <c r="C35" s="4">
        <v>8</v>
      </c>
      <c r="D35" s="4">
        <v>13</v>
      </c>
      <c r="E35" s="4">
        <v>2</v>
      </c>
      <c r="F35" s="4">
        <v>2</v>
      </c>
      <c r="G35" s="4">
        <f>SUM(B35:F35)</f>
        <v>43</v>
      </c>
      <c r="J35" s="18" t="s">
        <v>800</v>
      </c>
      <c r="K35" s="5">
        <f>B35/43</f>
        <v>0.41860465116279072</v>
      </c>
      <c r="L35" s="5">
        <f t="shared" ref="L35:P36" si="8">C35/43</f>
        <v>0.18604651162790697</v>
      </c>
      <c r="M35" s="5">
        <f t="shared" si="8"/>
        <v>0.30232558139534882</v>
      </c>
      <c r="N35" s="5">
        <f t="shared" si="8"/>
        <v>4.6511627906976744E-2</v>
      </c>
      <c r="O35" s="5">
        <f t="shared" si="8"/>
        <v>4.6511627906976744E-2</v>
      </c>
      <c r="P35" s="5">
        <f t="shared" si="8"/>
        <v>1</v>
      </c>
    </row>
    <row r="36" spans="1:16" ht="30" x14ac:dyDescent="0.25">
      <c r="A36" s="18" t="s">
        <v>801</v>
      </c>
      <c r="B36" s="4">
        <v>19</v>
      </c>
      <c r="C36" s="4">
        <v>17</v>
      </c>
      <c r="D36" s="4">
        <v>3</v>
      </c>
      <c r="E36" s="4">
        <v>2</v>
      </c>
      <c r="F36" s="4">
        <v>2</v>
      </c>
      <c r="G36" s="4">
        <f>SUM(B36:F36)</f>
        <v>43</v>
      </c>
      <c r="J36" s="18" t="s">
        <v>801</v>
      </c>
      <c r="K36" s="5">
        <f>B36/43</f>
        <v>0.44186046511627908</v>
      </c>
      <c r="L36" s="5">
        <f t="shared" si="8"/>
        <v>0.39534883720930231</v>
      </c>
      <c r="M36" s="5">
        <f t="shared" si="8"/>
        <v>6.9767441860465115E-2</v>
      </c>
      <c r="N36" s="5">
        <f t="shared" si="8"/>
        <v>4.6511627906976744E-2</v>
      </c>
      <c r="O36" s="5">
        <f t="shared" si="8"/>
        <v>4.6511627906976744E-2</v>
      </c>
      <c r="P36" s="5">
        <f t="shared" si="8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/>
  </sheetViews>
  <sheetFormatPr defaultRowHeight="15" x14ac:dyDescent="0.25"/>
  <cols>
    <col min="1" max="1" width="24.28515625" style="56" customWidth="1"/>
    <col min="2" max="2" width="11" style="56" customWidth="1"/>
    <col min="3" max="3" width="12.28515625" style="1" customWidth="1"/>
    <col min="4" max="16384" width="9.140625" style="56"/>
  </cols>
  <sheetData>
    <row r="1" spans="1:4" x14ac:dyDescent="0.25">
      <c r="A1" s="56" t="s">
        <v>73</v>
      </c>
    </row>
    <row r="3" spans="1:4" x14ac:dyDescent="0.25">
      <c r="A3" s="107"/>
      <c r="B3" s="108" t="s">
        <v>10</v>
      </c>
      <c r="C3" s="109" t="s">
        <v>78</v>
      </c>
      <c r="D3" s="110"/>
    </row>
    <row r="4" spans="1:4" ht="45" x14ac:dyDescent="0.25">
      <c r="A4" s="111" t="s">
        <v>74</v>
      </c>
      <c r="B4" s="112">
        <v>178</v>
      </c>
      <c r="C4" s="75">
        <f>B4/$B$7</f>
        <v>0.43734643734643736</v>
      </c>
      <c r="D4" s="110"/>
    </row>
    <row r="5" spans="1:4" ht="30" x14ac:dyDescent="0.25">
      <c r="A5" s="111" t="s">
        <v>75</v>
      </c>
      <c r="B5" s="112">
        <v>57</v>
      </c>
      <c r="C5" s="75">
        <f t="shared" ref="C5:C6" si="0">B5/$B$7</f>
        <v>0.14004914004914004</v>
      </c>
      <c r="D5" s="110"/>
    </row>
    <row r="6" spans="1:4" x14ac:dyDescent="0.25">
      <c r="A6" s="111" t="s">
        <v>76</v>
      </c>
      <c r="B6" s="112">
        <v>172</v>
      </c>
      <c r="C6" s="75">
        <f t="shared" si="0"/>
        <v>0.4226044226044226</v>
      </c>
      <c r="D6" s="110"/>
    </row>
    <row r="7" spans="1:4" x14ac:dyDescent="0.25">
      <c r="A7" s="111" t="s">
        <v>53</v>
      </c>
      <c r="B7" s="112">
        <f>SUM(B4:B6)</f>
        <v>407</v>
      </c>
      <c r="C7" s="75">
        <f>B7/$B$7</f>
        <v>1</v>
      </c>
      <c r="D7" s="110"/>
    </row>
    <row r="11" spans="1:4" ht="15.75" customHeight="1" x14ac:dyDescent="0.25">
      <c r="A11" s="150" t="s">
        <v>77</v>
      </c>
      <c r="B11" s="150"/>
      <c r="C11" s="150"/>
    </row>
    <row r="12" spans="1:4" x14ac:dyDescent="0.25">
      <c r="A12" s="113" t="s">
        <v>61</v>
      </c>
      <c r="B12" s="108" t="s">
        <v>10</v>
      </c>
      <c r="C12" s="114" t="s">
        <v>78</v>
      </c>
    </row>
    <row r="13" spans="1:4" x14ac:dyDescent="0.25">
      <c r="A13" s="115" t="s">
        <v>12</v>
      </c>
      <c r="B13" s="112">
        <v>1</v>
      </c>
      <c r="C13" s="25">
        <f>B13/$B$48</f>
        <v>6.2893081761006293E-3</v>
      </c>
    </row>
    <row r="14" spans="1:4" x14ac:dyDescent="0.25">
      <c r="A14" s="115" t="s">
        <v>14</v>
      </c>
      <c r="B14" s="112">
        <v>1</v>
      </c>
      <c r="C14" s="25">
        <f t="shared" ref="C14:C48" si="1">B14/$B$48</f>
        <v>6.2893081761006293E-3</v>
      </c>
    </row>
    <row r="15" spans="1:4" x14ac:dyDescent="0.25">
      <c r="A15" s="115" t="s">
        <v>16</v>
      </c>
      <c r="B15" s="112">
        <v>2</v>
      </c>
      <c r="C15" s="25">
        <f t="shared" si="1"/>
        <v>1.2578616352201259E-2</v>
      </c>
    </row>
    <row r="16" spans="1:4" x14ac:dyDescent="0.25">
      <c r="A16" s="115" t="s">
        <v>17</v>
      </c>
      <c r="B16" s="112">
        <v>1</v>
      </c>
      <c r="C16" s="25">
        <f t="shared" si="1"/>
        <v>6.2893081761006293E-3</v>
      </c>
    </row>
    <row r="17" spans="1:3" x14ac:dyDescent="0.25">
      <c r="A17" s="115" t="s">
        <v>19</v>
      </c>
      <c r="B17" s="112">
        <v>1</v>
      </c>
      <c r="C17" s="25">
        <f t="shared" si="1"/>
        <v>6.2893081761006293E-3</v>
      </c>
    </row>
    <row r="18" spans="1:3" x14ac:dyDescent="0.25">
      <c r="A18" s="115" t="s">
        <v>20</v>
      </c>
      <c r="B18" s="112">
        <v>1</v>
      </c>
      <c r="C18" s="25">
        <f t="shared" si="1"/>
        <v>6.2893081761006293E-3</v>
      </c>
    </row>
    <row r="19" spans="1:3" x14ac:dyDescent="0.25">
      <c r="A19" s="115" t="s">
        <v>23</v>
      </c>
      <c r="B19" s="112">
        <v>2</v>
      </c>
      <c r="C19" s="25">
        <f t="shared" si="1"/>
        <v>1.2578616352201259E-2</v>
      </c>
    </row>
    <row r="20" spans="1:3" x14ac:dyDescent="0.25">
      <c r="A20" s="115" t="s">
        <v>25</v>
      </c>
      <c r="B20" s="112">
        <v>1</v>
      </c>
      <c r="C20" s="25">
        <f t="shared" si="1"/>
        <v>6.2893081761006293E-3</v>
      </c>
    </row>
    <row r="21" spans="1:3" x14ac:dyDescent="0.25">
      <c r="A21" s="115" t="s">
        <v>26</v>
      </c>
      <c r="B21" s="112">
        <v>2</v>
      </c>
      <c r="C21" s="25">
        <f t="shared" si="1"/>
        <v>1.2578616352201259E-2</v>
      </c>
    </row>
    <row r="22" spans="1:3" x14ac:dyDescent="0.25">
      <c r="A22" s="115" t="s">
        <v>27</v>
      </c>
      <c r="B22" s="112">
        <v>1</v>
      </c>
      <c r="C22" s="25">
        <f t="shared" si="1"/>
        <v>6.2893081761006293E-3</v>
      </c>
    </row>
    <row r="23" spans="1:3" x14ac:dyDescent="0.25">
      <c r="A23" s="115" t="s">
        <v>28</v>
      </c>
      <c r="B23" s="112">
        <v>2</v>
      </c>
      <c r="C23" s="25">
        <f t="shared" si="1"/>
        <v>1.2578616352201259E-2</v>
      </c>
    </row>
    <row r="24" spans="1:3" x14ac:dyDescent="0.25">
      <c r="A24" s="115" t="s">
        <v>29</v>
      </c>
      <c r="B24" s="112">
        <v>3</v>
      </c>
      <c r="C24" s="25">
        <f t="shared" si="1"/>
        <v>1.8867924528301886E-2</v>
      </c>
    </row>
    <row r="25" spans="1:3" x14ac:dyDescent="0.25">
      <c r="A25" s="115" t="s">
        <v>30</v>
      </c>
      <c r="B25" s="112">
        <v>2</v>
      </c>
      <c r="C25" s="25">
        <f t="shared" si="1"/>
        <v>1.2578616352201259E-2</v>
      </c>
    </row>
    <row r="26" spans="1:3" x14ac:dyDescent="0.25">
      <c r="A26" s="115" t="s">
        <v>31</v>
      </c>
      <c r="B26" s="112">
        <v>2</v>
      </c>
      <c r="C26" s="25">
        <f t="shared" si="1"/>
        <v>1.2578616352201259E-2</v>
      </c>
    </row>
    <row r="27" spans="1:3" x14ac:dyDescent="0.25">
      <c r="A27" s="115" t="s">
        <v>32</v>
      </c>
      <c r="B27" s="112">
        <v>4</v>
      </c>
      <c r="C27" s="25">
        <f t="shared" si="1"/>
        <v>2.5157232704402517E-2</v>
      </c>
    </row>
    <row r="28" spans="1:3" x14ac:dyDescent="0.25">
      <c r="A28" s="115" t="s">
        <v>33</v>
      </c>
      <c r="B28" s="112">
        <v>3</v>
      </c>
      <c r="C28" s="25">
        <f t="shared" si="1"/>
        <v>1.8867924528301886E-2</v>
      </c>
    </row>
    <row r="29" spans="1:3" x14ac:dyDescent="0.25">
      <c r="A29" s="115" t="s">
        <v>34</v>
      </c>
      <c r="B29" s="112">
        <v>3</v>
      </c>
      <c r="C29" s="25">
        <f t="shared" si="1"/>
        <v>1.8867924528301886E-2</v>
      </c>
    </row>
    <row r="30" spans="1:3" x14ac:dyDescent="0.25">
      <c r="A30" s="115" t="s">
        <v>35</v>
      </c>
      <c r="B30" s="112">
        <v>3</v>
      </c>
      <c r="C30" s="25">
        <f t="shared" si="1"/>
        <v>1.8867924528301886E-2</v>
      </c>
    </row>
    <row r="31" spans="1:3" x14ac:dyDescent="0.25">
      <c r="A31" s="115" t="s">
        <v>36</v>
      </c>
      <c r="B31" s="112">
        <v>2</v>
      </c>
      <c r="C31" s="25">
        <f t="shared" si="1"/>
        <v>1.2578616352201259E-2</v>
      </c>
    </row>
    <row r="32" spans="1:3" x14ac:dyDescent="0.25">
      <c r="A32" s="115" t="s">
        <v>37</v>
      </c>
      <c r="B32" s="112">
        <v>8</v>
      </c>
      <c r="C32" s="25">
        <f t="shared" si="1"/>
        <v>5.0314465408805034E-2</v>
      </c>
    </row>
    <row r="33" spans="1:3" x14ac:dyDescent="0.25">
      <c r="A33" s="115" t="s">
        <v>38</v>
      </c>
      <c r="B33" s="112">
        <v>10</v>
      </c>
      <c r="C33" s="25">
        <f t="shared" si="1"/>
        <v>6.2893081761006289E-2</v>
      </c>
    </row>
    <row r="34" spans="1:3" x14ac:dyDescent="0.25">
      <c r="A34" s="115" t="s">
        <v>39</v>
      </c>
      <c r="B34" s="112">
        <v>6</v>
      </c>
      <c r="C34" s="25">
        <f t="shared" si="1"/>
        <v>3.7735849056603772E-2</v>
      </c>
    </row>
    <row r="35" spans="1:3" x14ac:dyDescent="0.25">
      <c r="A35" s="115" t="s">
        <v>40</v>
      </c>
      <c r="B35" s="112">
        <v>6</v>
      </c>
      <c r="C35" s="25">
        <f t="shared" si="1"/>
        <v>3.7735849056603772E-2</v>
      </c>
    </row>
    <row r="36" spans="1:3" x14ac:dyDescent="0.25">
      <c r="A36" s="115" t="s">
        <v>41</v>
      </c>
      <c r="B36" s="112">
        <v>3</v>
      </c>
      <c r="C36" s="25">
        <f t="shared" si="1"/>
        <v>1.8867924528301886E-2</v>
      </c>
    </row>
    <row r="37" spans="1:3" x14ac:dyDescent="0.25">
      <c r="A37" s="115" t="s">
        <v>42</v>
      </c>
      <c r="B37" s="112">
        <v>9</v>
      </c>
      <c r="C37" s="25">
        <f t="shared" si="1"/>
        <v>5.6603773584905662E-2</v>
      </c>
    </row>
    <row r="38" spans="1:3" x14ac:dyDescent="0.25">
      <c r="A38" s="115" t="s">
        <v>43</v>
      </c>
      <c r="B38" s="112">
        <v>10</v>
      </c>
      <c r="C38" s="25">
        <f t="shared" si="1"/>
        <v>6.2893081761006289E-2</v>
      </c>
    </row>
    <row r="39" spans="1:3" x14ac:dyDescent="0.25">
      <c r="A39" s="115" t="s">
        <v>44</v>
      </c>
      <c r="B39" s="112">
        <v>10</v>
      </c>
      <c r="C39" s="25">
        <f t="shared" si="1"/>
        <v>6.2893081761006289E-2</v>
      </c>
    </row>
    <row r="40" spans="1:3" x14ac:dyDescent="0.25">
      <c r="A40" s="115" t="s">
        <v>45</v>
      </c>
      <c r="B40" s="112">
        <v>9</v>
      </c>
      <c r="C40" s="25">
        <f t="shared" si="1"/>
        <v>5.6603773584905662E-2</v>
      </c>
    </row>
    <row r="41" spans="1:3" x14ac:dyDescent="0.25">
      <c r="A41" s="115" t="s">
        <v>46</v>
      </c>
      <c r="B41" s="112">
        <v>4</v>
      </c>
      <c r="C41" s="25">
        <f t="shared" si="1"/>
        <v>2.5157232704402517E-2</v>
      </c>
    </row>
    <row r="42" spans="1:3" x14ac:dyDescent="0.25">
      <c r="A42" s="115" t="s">
        <v>47</v>
      </c>
      <c r="B42" s="112">
        <v>8</v>
      </c>
      <c r="C42" s="25">
        <f t="shared" si="1"/>
        <v>5.0314465408805034E-2</v>
      </c>
    </row>
    <row r="43" spans="1:3" x14ac:dyDescent="0.25">
      <c r="A43" s="115" t="s">
        <v>48</v>
      </c>
      <c r="B43" s="112">
        <v>16</v>
      </c>
      <c r="C43" s="25">
        <f t="shared" si="1"/>
        <v>0.10062893081761007</v>
      </c>
    </row>
    <row r="44" spans="1:3" x14ac:dyDescent="0.25">
      <c r="A44" s="115" t="s">
        <v>49</v>
      </c>
      <c r="B44" s="112">
        <v>1</v>
      </c>
      <c r="C44" s="25">
        <f t="shared" si="1"/>
        <v>6.2893081761006293E-3</v>
      </c>
    </row>
    <row r="45" spans="1:3" x14ac:dyDescent="0.25">
      <c r="A45" s="115" t="s">
        <v>50</v>
      </c>
      <c r="B45" s="112">
        <v>11</v>
      </c>
      <c r="C45" s="25">
        <f t="shared" si="1"/>
        <v>6.9182389937106917E-2</v>
      </c>
    </row>
    <row r="46" spans="1:3" x14ac:dyDescent="0.25">
      <c r="A46" s="115" t="s">
        <v>51</v>
      </c>
      <c r="B46" s="112">
        <v>8</v>
      </c>
      <c r="C46" s="25">
        <f t="shared" si="1"/>
        <v>5.0314465408805034E-2</v>
      </c>
    </row>
    <row r="47" spans="1:3" x14ac:dyDescent="0.25">
      <c r="A47" s="115" t="s">
        <v>52</v>
      </c>
      <c r="B47" s="112">
        <v>3</v>
      </c>
      <c r="C47" s="25">
        <f t="shared" si="1"/>
        <v>1.8867924528301886E-2</v>
      </c>
    </row>
    <row r="48" spans="1:3" x14ac:dyDescent="0.25">
      <c r="A48" s="111" t="s">
        <v>53</v>
      </c>
      <c r="B48" s="112">
        <v>159</v>
      </c>
      <c r="C48" s="25">
        <f t="shared" si="1"/>
        <v>1</v>
      </c>
    </row>
    <row r="49" spans="3:3" x14ac:dyDescent="0.25">
      <c r="C49" s="56"/>
    </row>
  </sheetData>
  <mergeCells count="1"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A56" workbookViewId="0">
      <selection activeCell="A34" sqref="A1:XFD1048576"/>
    </sheetView>
  </sheetViews>
  <sheetFormatPr defaultRowHeight="15" x14ac:dyDescent="0.25"/>
  <cols>
    <col min="1" max="1" width="58.28515625" style="56" customWidth="1"/>
    <col min="2" max="2" width="14.140625" style="56" bestFit="1" customWidth="1"/>
    <col min="3" max="3" width="16.28515625" style="2" bestFit="1" customWidth="1"/>
    <col min="4" max="4" width="18.85546875" style="56" bestFit="1" customWidth="1"/>
    <col min="5" max="5" width="16.5703125" style="56" bestFit="1" customWidth="1"/>
    <col min="6" max="7" width="9.140625" style="56"/>
    <col min="8" max="8" width="80.140625" style="56" bestFit="1" customWidth="1"/>
    <col min="9" max="9" width="14.140625" style="56" bestFit="1" customWidth="1"/>
    <col min="10" max="10" width="16.28515625" style="56" bestFit="1" customWidth="1"/>
    <col min="11" max="11" width="18.85546875" style="56" bestFit="1" customWidth="1"/>
    <col min="12" max="12" width="16.5703125" style="56" bestFit="1" customWidth="1"/>
    <col min="13" max="13" width="7.140625" style="56" bestFit="1" customWidth="1"/>
    <col min="14" max="16384" width="9.140625" style="56"/>
  </cols>
  <sheetData>
    <row r="1" spans="1:11" x14ac:dyDescent="0.25">
      <c r="A1" s="3" t="s">
        <v>169</v>
      </c>
    </row>
    <row r="3" spans="1:11" x14ac:dyDescent="0.25">
      <c r="A3" s="151" t="s">
        <v>84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5" spans="1:11" x14ac:dyDescent="0.25">
      <c r="A5" s="58"/>
      <c r="B5" s="58" t="s">
        <v>10</v>
      </c>
      <c r="C5" s="5" t="s">
        <v>78</v>
      </c>
    </row>
    <row r="6" spans="1:11" x14ac:dyDescent="0.25">
      <c r="A6" s="63" t="s">
        <v>80</v>
      </c>
      <c r="B6" s="58">
        <v>46</v>
      </c>
      <c r="C6" s="5">
        <f>B6/$B$8</f>
        <v>0.40707964601769914</v>
      </c>
    </row>
    <row r="7" spans="1:11" x14ac:dyDescent="0.25">
      <c r="A7" s="63" t="s">
        <v>81</v>
      </c>
      <c r="B7" s="58">
        <v>67</v>
      </c>
      <c r="C7" s="5">
        <f t="shared" ref="C7:C8" si="0">B7/$B$8</f>
        <v>0.59292035398230092</v>
      </c>
    </row>
    <row r="8" spans="1:11" x14ac:dyDescent="0.25">
      <c r="A8" s="63" t="s">
        <v>53</v>
      </c>
      <c r="B8" s="58">
        <f>SUM(B6:B7)</f>
        <v>113</v>
      </c>
      <c r="C8" s="5">
        <f t="shared" si="0"/>
        <v>1</v>
      </c>
    </row>
    <row r="11" spans="1:11" x14ac:dyDescent="0.25">
      <c r="A11" s="56" t="s">
        <v>86</v>
      </c>
    </row>
    <row r="13" spans="1:11" x14ac:dyDescent="0.25">
      <c r="A13" s="58"/>
      <c r="B13" s="58" t="s">
        <v>10</v>
      </c>
      <c r="C13" s="5" t="s">
        <v>78</v>
      </c>
    </row>
    <row r="14" spans="1:11" x14ac:dyDescent="0.25">
      <c r="A14" s="63" t="s">
        <v>80</v>
      </c>
      <c r="B14" s="58">
        <v>67</v>
      </c>
      <c r="C14" s="5">
        <f>B14/$B$16</f>
        <v>0.58771929824561409</v>
      </c>
    </row>
    <row r="15" spans="1:11" x14ac:dyDescent="0.25">
      <c r="A15" s="63" t="s">
        <v>81</v>
      </c>
      <c r="B15" s="58">
        <v>47</v>
      </c>
      <c r="C15" s="5">
        <f t="shared" ref="C15:C16" si="1">B15/$B$16</f>
        <v>0.41228070175438597</v>
      </c>
    </row>
    <row r="16" spans="1:11" x14ac:dyDescent="0.25">
      <c r="A16" s="63" t="s">
        <v>53</v>
      </c>
      <c r="B16" s="58">
        <f>SUM(B14:B15)</f>
        <v>114</v>
      </c>
      <c r="C16" s="5">
        <f t="shared" si="1"/>
        <v>1</v>
      </c>
    </row>
    <row r="18" spans="1:3" x14ac:dyDescent="0.25">
      <c r="A18" s="56" t="s">
        <v>88</v>
      </c>
    </row>
    <row r="20" spans="1:3" x14ac:dyDescent="0.25">
      <c r="A20" s="58"/>
      <c r="B20" s="58" t="s">
        <v>10</v>
      </c>
      <c r="C20" s="5" t="s">
        <v>78</v>
      </c>
    </row>
    <row r="21" spans="1:3" x14ac:dyDescent="0.25">
      <c r="A21" s="58" t="s">
        <v>89</v>
      </c>
      <c r="B21" s="58">
        <v>4</v>
      </c>
      <c r="C21" s="5">
        <f>B21/$B$26</f>
        <v>8.5106382978723402E-2</v>
      </c>
    </row>
    <row r="22" spans="1:3" x14ac:dyDescent="0.25">
      <c r="A22" s="58" t="s">
        <v>90</v>
      </c>
      <c r="B22" s="58">
        <v>10</v>
      </c>
      <c r="C22" s="5">
        <f t="shared" ref="C22:C26" si="2">B22/$B$26</f>
        <v>0.21276595744680851</v>
      </c>
    </row>
    <row r="23" spans="1:3" x14ac:dyDescent="0.25">
      <c r="A23" s="58" t="s">
        <v>91</v>
      </c>
      <c r="B23" s="58">
        <v>7</v>
      </c>
      <c r="C23" s="5">
        <f t="shared" si="2"/>
        <v>0.14893617021276595</v>
      </c>
    </row>
    <row r="24" spans="1:3" x14ac:dyDescent="0.25">
      <c r="A24" s="58" t="s">
        <v>92</v>
      </c>
      <c r="B24" s="58">
        <v>15</v>
      </c>
      <c r="C24" s="5">
        <f t="shared" si="2"/>
        <v>0.31914893617021278</v>
      </c>
    </row>
    <row r="25" spans="1:3" x14ac:dyDescent="0.25">
      <c r="A25" s="58" t="s">
        <v>93</v>
      </c>
      <c r="B25" s="58">
        <v>11</v>
      </c>
      <c r="C25" s="5">
        <f t="shared" si="2"/>
        <v>0.23404255319148937</v>
      </c>
    </row>
    <row r="26" spans="1:3" x14ac:dyDescent="0.25">
      <c r="A26" s="58" t="s">
        <v>53</v>
      </c>
      <c r="B26" s="58">
        <f>SUM(B21:B25)</f>
        <v>47</v>
      </c>
      <c r="C26" s="5">
        <f t="shared" si="2"/>
        <v>1</v>
      </c>
    </row>
    <row r="28" spans="1:3" x14ac:dyDescent="0.25">
      <c r="A28" s="56" t="s">
        <v>94</v>
      </c>
    </row>
    <row r="30" spans="1:3" x14ac:dyDescent="0.25">
      <c r="A30" s="58"/>
      <c r="B30" s="58" t="s">
        <v>10</v>
      </c>
      <c r="C30" s="5" t="s">
        <v>78</v>
      </c>
    </row>
    <row r="31" spans="1:3" x14ac:dyDescent="0.25">
      <c r="A31" s="58" t="s">
        <v>80</v>
      </c>
      <c r="B31" s="58">
        <v>62</v>
      </c>
      <c r="C31" s="5">
        <f>B31/B$33</f>
        <v>0.54385964912280704</v>
      </c>
    </row>
    <row r="32" spans="1:3" x14ac:dyDescent="0.25">
      <c r="A32" s="58" t="s">
        <v>81</v>
      </c>
      <c r="B32" s="58">
        <v>52</v>
      </c>
      <c r="C32" s="5">
        <f t="shared" ref="C32:C33" si="3">B32/B$33</f>
        <v>0.45614035087719296</v>
      </c>
    </row>
    <row r="33" spans="1:13" x14ac:dyDescent="0.25">
      <c r="A33" s="58" t="s">
        <v>53</v>
      </c>
      <c r="B33" s="58">
        <f>SUM(B31:B32)</f>
        <v>114</v>
      </c>
      <c r="C33" s="5">
        <f t="shared" si="3"/>
        <v>1</v>
      </c>
    </row>
    <row r="35" spans="1:13" x14ac:dyDescent="0.25">
      <c r="A35" s="56" t="s">
        <v>95</v>
      </c>
    </row>
    <row r="37" spans="1:13" x14ac:dyDescent="0.25">
      <c r="A37" s="58"/>
      <c r="B37" s="58" t="s">
        <v>97</v>
      </c>
      <c r="C37" s="58" t="s">
        <v>98</v>
      </c>
      <c r="D37" s="58" t="s">
        <v>99</v>
      </c>
      <c r="E37" s="58" t="s">
        <v>100</v>
      </c>
      <c r="F37" s="58" t="s">
        <v>53</v>
      </c>
      <c r="H37" s="58"/>
      <c r="I37" s="58" t="s">
        <v>97</v>
      </c>
      <c r="J37" s="58" t="s">
        <v>98</v>
      </c>
      <c r="K37" s="58" t="s">
        <v>99</v>
      </c>
      <c r="L37" s="58" t="s">
        <v>100</v>
      </c>
      <c r="M37" s="58" t="s">
        <v>53</v>
      </c>
    </row>
    <row r="38" spans="1:13" x14ac:dyDescent="0.25">
      <c r="A38" s="116" t="s">
        <v>96</v>
      </c>
      <c r="B38" s="116">
        <v>39</v>
      </c>
      <c r="C38" s="117">
        <v>28</v>
      </c>
      <c r="D38" s="116">
        <v>22</v>
      </c>
      <c r="E38" s="116">
        <v>16</v>
      </c>
      <c r="F38" s="58">
        <f t="shared" ref="F38:F44" si="4">SUM(B38:E38)</f>
        <v>105</v>
      </c>
      <c r="H38" s="116" t="s">
        <v>96</v>
      </c>
      <c r="I38" s="10">
        <f>B38/$F$38</f>
        <v>0.37142857142857144</v>
      </c>
      <c r="J38" s="10">
        <f t="shared" ref="J38:L38" si="5">C38/$F$38</f>
        <v>0.26666666666666666</v>
      </c>
      <c r="K38" s="10">
        <f t="shared" si="5"/>
        <v>0.20952380952380953</v>
      </c>
      <c r="L38" s="10">
        <f t="shared" si="5"/>
        <v>0.15238095238095239</v>
      </c>
      <c r="M38" s="5">
        <f t="shared" ref="M38:M44" si="6">SUM(I38:L38)</f>
        <v>1</v>
      </c>
    </row>
    <row r="39" spans="1:13" x14ac:dyDescent="0.25">
      <c r="A39" s="58" t="s">
        <v>101</v>
      </c>
      <c r="B39" s="58">
        <v>20</v>
      </c>
      <c r="C39" s="118">
        <v>32</v>
      </c>
      <c r="D39" s="58">
        <v>30</v>
      </c>
      <c r="E39" s="58">
        <v>23</v>
      </c>
      <c r="F39" s="58">
        <f t="shared" si="4"/>
        <v>105</v>
      </c>
      <c r="H39" s="58" t="s">
        <v>101</v>
      </c>
      <c r="I39" s="10">
        <f>B39/$F$39</f>
        <v>0.19047619047619047</v>
      </c>
      <c r="J39" s="10">
        <f t="shared" ref="J39:L39" si="7">C39/$F$39</f>
        <v>0.30476190476190479</v>
      </c>
      <c r="K39" s="10">
        <f t="shared" si="7"/>
        <v>0.2857142857142857</v>
      </c>
      <c r="L39" s="10">
        <f t="shared" si="7"/>
        <v>0.21904761904761905</v>
      </c>
      <c r="M39" s="5">
        <f t="shared" si="6"/>
        <v>1</v>
      </c>
    </row>
    <row r="40" spans="1:13" x14ac:dyDescent="0.25">
      <c r="A40" s="58" t="s">
        <v>102</v>
      </c>
      <c r="B40" s="58">
        <v>22</v>
      </c>
      <c r="C40" s="8">
        <v>27</v>
      </c>
      <c r="D40" s="58">
        <v>24</v>
      </c>
      <c r="E40" s="58">
        <v>30</v>
      </c>
      <c r="F40" s="58">
        <f t="shared" si="4"/>
        <v>103</v>
      </c>
      <c r="H40" s="58" t="s">
        <v>102</v>
      </c>
      <c r="I40" s="10">
        <f>B40/$F$40</f>
        <v>0.21359223300970873</v>
      </c>
      <c r="J40" s="10">
        <f t="shared" ref="J40:L40" si="8">C40/$F$40</f>
        <v>0.26213592233009708</v>
      </c>
      <c r="K40" s="10">
        <f t="shared" si="8"/>
        <v>0.23300970873786409</v>
      </c>
      <c r="L40" s="10">
        <f t="shared" si="8"/>
        <v>0.29126213592233008</v>
      </c>
      <c r="M40" s="5">
        <f t="shared" si="6"/>
        <v>1</v>
      </c>
    </row>
    <row r="41" spans="1:13" x14ac:dyDescent="0.25">
      <c r="A41" s="58" t="s">
        <v>802</v>
      </c>
      <c r="B41" s="58">
        <v>2</v>
      </c>
      <c r="C41" s="9">
        <v>4</v>
      </c>
      <c r="D41" s="58">
        <v>4</v>
      </c>
      <c r="E41" s="58">
        <v>92</v>
      </c>
      <c r="F41" s="58">
        <f t="shared" si="4"/>
        <v>102</v>
      </c>
      <c r="H41" s="58" t="s">
        <v>802</v>
      </c>
      <c r="I41" s="10">
        <f>B41/$F$41</f>
        <v>1.9607843137254902E-2</v>
      </c>
      <c r="J41" s="10">
        <f t="shared" ref="J41:L41" si="9">C41/$F$41</f>
        <v>3.9215686274509803E-2</v>
      </c>
      <c r="K41" s="10">
        <f t="shared" si="9"/>
        <v>3.9215686274509803E-2</v>
      </c>
      <c r="L41" s="10">
        <f t="shared" si="9"/>
        <v>0.90196078431372551</v>
      </c>
      <c r="M41" s="5">
        <f t="shared" si="6"/>
        <v>1</v>
      </c>
    </row>
    <row r="42" spans="1:13" x14ac:dyDescent="0.25">
      <c r="A42" s="58" t="s">
        <v>803</v>
      </c>
      <c r="B42" s="58">
        <v>51</v>
      </c>
      <c r="C42" s="9">
        <v>35</v>
      </c>
      <c r="D42" s="58">
        <v>8</v>
      </c>
      <c r="E42" s="58">
        <v>7</v>
      </c>
      <c r="F42" s="58">
        <f t="shared" si="4"/>
        <v>101</v>
      </c>
      <c r="H42" s="58" t="s">
        <v>803</v>
      </c>
      <c r="I42" s="10">
        <f>B42/$F$42</f>
        <v>0.50495049504950495</v>
      </c>
      <c r="J42" s="10">
        <f t="shared" ref="J42:L42" si="10">C42/$F$42</f>
        <v>0.34653465346534651</v>
      </c>
      <c r="K42" s="10">
        <f t="shared" si="10"/>
        <v>7.9207920792079209E-2</v>
      </c>
      <c r="L42" s="10">
        <f t="shared" si="10"/>
        <v>6.9306930693069313E-2</v>
      </c>
      <c r="M42" s="5">
        <f t="shared" si="6"/>
        <v>1</v>
      </c>
    </row>
    <row r="43" spans="1:13" x14ac:dyDescent="0.25">
      <c r="A43" s="58" t="s">
        <v>103</v>
      </c>
      <c r="B43" s="58">
        <v>38</v>
      </c>
      <c r="C43" s="9">
        <v>20</v>
      </c>
      <c r="D43" s="58">
        <v>18</v>
      </c>
      <c r="E43" s="58">
        <v>26</v>
      </c>
      <c r="F43" s="58">
        <f t="shared" si="4"/>
        <v>102</v>
      </c>
      <c r="H43" s="58" t="s">
        <v>103</v>
      </c>
      <c r="I43" s="10">
        <f>B43/$F$43</f>
        <v>0.37254901960784315</v>
      </c>
      <c r="J43" s="10">
        <f t="shared" ref="J43:L43" si="11">C43/$F$43</f>
        <v>0.19607843137254902</v>
      </c>
      <c r="K43" s="10">
        <f t="shared" si="11"/>
        <v>0.17647058823529413</v>
      </c>
      <c r="L43" s="10">
        <f t="shared" si="11"/>
        <v>0.25490196078431371</v>
      </c>
      <c r="M43" s="5">
        <f t="shared" si="6"/>
        <v>1</v>
      </c>
    </row>
    <row r="44" spans="1:13" x14ac:dyDescent="0.25">
      <c r="A44" s="58" t="s">
        <v>104</v>
      </c>
      <c r="B44" s="58">
        <v>89</v>
      </c>
      <c r="C44" s="9">
        <v>8</v>
      </c>
      <c r="D44" s="58">
        <v>4</v>
      </c>
      <c r="E44" s="58">
        <v>2</v>
      </c>
      <c r="F44" s="58">
        <f t="shared" si="4"/>
        <v>103</v>
      </c>
      <c r="H44" s="58" t="s">
        <v>104</v>
      </c>
      <c r="I44" s="10">
        <f>B44/$F$44</f>
        <v>0.86407766990291257</v>
      </c>
      <c r="J44" s="10">
        <f t="shared" ref="J44:L44" si="12">C44/$F$44</f>
        <v>7.7669902912621352E-2</v>
      </c>
      <c r="K44" s="10">
        <f t="shared" si="12"/>
        <v>3.8834951456310676E-2</v>
      </c>
      <c r="L44" s="10">
        <f t="shared" si="12"/>
        <v>1.9417475728155338E-2</v>
      </c>
      <c r="M44" s="5">
        <f t="shared" si="6"/>
        <v>0.99999999999999989</v>
      </c>
    </row>
    <row r="45" spans="1:13" x14ac:dyDescent="0.25">
      <c r="C45" s="6"/>
    </row>
    <row r="47" spans="1:13" x14ac:dyDescent="0.25">
      <c r="A47" s="56" t="s">
        <v>804</v>
      </c>
    </row>
    <row r="48" spans="1:13" x14ac:dyDescent="0.25">
      <c r="A48" s="58"/>
      <c r="B48" s="147" t="s">
        <v>10</v>
      </c>
      <c r="C48" s="147"/>
      <c r="D48" s="58" t="s">
        <v>78</v>
      </c>
    </row>
    <row r="49" spans="1:12" x14ac:dyDescent="0.25">
      <c r="A49" s="58"/>
      <c r="B49" s="58" t="s">
        <v>105</v>
      </c>
      <c r="C49" s="5" t="s">
        <v>106</v>
      </c>
      <c r="D49" s="58" t="s">
        <v>105</v>
      </c>
    </row>
    <row r="50" spans="1:12" x14ac:dyDescent="0.25">
      <c r="A50" s="58" t="s">
        <v>107</v>
      </c>
      <c r="B50" s="118">
        <v>9</v>
      </c>
      <c r="C50" s="9">
        <v>398</v>
      </c>
      <c r="D50" s="5">
        <f>B50/(B50+C50)</f>
        <v>2.2113022113022112E-2</v>
      </c>
    </row>
    <row r="51" spans="1:12" x14ac:dyDescent="0.25">
      <c r="A51" s="58" t="s">
        <v>108</v>
      </c>
      <c r="B51" s="118">
        <v>64</v>
      </c>
      <c r="C51" s="9">
        <v>343</v>
      </c>
      <c r="D51" s="5">
        <f t="shared" ref="D51:D56" si="13">B51/(B51+C51)</f>
        <v>0.15724815724815724</v>
      </c>
    </row>
    <row r="52" spans="1:12" x14ac:dyDescent="0.25">
      <c r="A52" s="58" t="s">
        <v>109</v>
      </c>
      <c r="B52" s="118">
        <v>31</v>
      </c>
      <c r="C52" s="9">
        <v>376</v>
      </c>
      <c r="D52" s="5">
        <f t="shared" si="13"/>
        <v>7.6167076167076173E-2</v>
      </c>
    </row>
    <row r="53" spans="1:12" x14ac:dyDescent="0.25">
      <c r="A53" s="58" t="s">
        <v>110</v>
      </c>
      <c r="B53" s="118">
        <v>102</v>
      </c>
      <c r="C53" s="9">
        <v>305</v>
      </c>
      <c r="D53" s="5">
        <f t="shared" si="13"/>
        <v>0.25061425061425063</v>
      </c>
    </row>
    <row r="54" spans="1:12" x14ac:dyDescent="0.25">
      <c r="A54" s="58" t="s">
        <v>111</v>
      </c>
      <c r="B54" s="118">
        <v>17</v>
      </c>
      <c r="C54" s="9">
        <v>390</v>
      </c>
      <c r="D54" s="5">
        <f t="shared" si="13"/>
        <v>4.1769041769041768E-2</v>
      </c>
    </row>
    <row r="55" spans="1:12" x14ac:dyDescent="0.25">
      <c r="A55" s="58" t="s">
        <v>112</v>
      </c>
      <c r="B55" s="118">
        <v>6</v>
      </c>
      <c r="C55" s="9">
        <v>401</v>
      </c>
      <c r="D55" s="5">
        <f t="shared" si="13"/>
        <v>1.4742014742014743E-2</v>
      </c>
    </row>
    <row r="56" spans="1:12" x14ac:dyDescent="0.25">
      <c r="A56" s="58" t="s">
        <v>113</v>
      </c>
      <c r="B56" s="118">
        <v>73</v>
      </c>
      <c r="C56" s="9">
        <v>334</v>
      </c>
      <c r="D56" s="5">
        <f t="shared" si="13"/>
        <v>0.17936117936117937</v>
      </c>
    </row>
    <row r="57" spans="1:12" x14ac:dyDescent="0.25">
      <c r="B57" s="119"/>
      <c r="C57" s="6"/>
    </row>
    <row r="59" spans="1:12" x14ac:dyDescent="0.25">
      <c r="A59" s="56" t="s">
        <v>114</v>
      </c>
    </row>
    <row r="60" spans="1:12" x14ac:dyDescent="0.25">
      <c r="A60" s="11" t="s">
        <v>115</v>
      </c>
      <c r="B60" s="58" t="s">
        <v>97</v>
      </c>
      <c r="C60" s="5" t="s">
        <v>98</v>
      </c>
      <c r="D60" s="58" t="s">
        <v>99</v>
      </c>
      <c r="E60" s="58" t="s">
        <v>100</v>
      </c>
      <c r="F60" s="58" t="s">
        <v>53</v>
      </c>
      <c r="H60" s="11" t="s">
        <v>115</v>
      </c>
      <c r="I60" s="58" t="s">
        <v>97</v>
      </c>
      <c r="J60" s="5" t="s">
        <v>98</v>
      </c>
      <c r="K60" s="58" t="s">
        <v>99</v>
      </c>
      <c r="L60" s="58" t="s">
        <v>100</v>
      </c>
    </row>
    <row r="61" spans="1:12" x14ac:dyDescent="0.25">
      <c r="A61" s="58" t="s">
        <v>116</v>
      </c>
      <c r="B61" s="118">
        <v>19</v>
      </c>
      <c r="C61" s="9">
        <v>47</v>
      </c>
      <c r="D61" s="118">
        <v>20</v>
      </c>
      <c r="E61" s="118">
        <v>18</v>
      </c>
      <c r="F61" s="58">
        <f>SUM(B61:E61)</f>
        <v>104</v>
      </c>
      <c r="H61" s="58" t="s">
        <v>116</v>
      </c>
      <c r="I61" s="5">
        <f>B61/104</f>
        <v>0.18269230769230768</v>
      </c>
      <c r="J61" s="5">
        <f>C61/104</f>
        <v>0.45192307692307693</v>
      </c>
      <c r="K61" s="5">
        <f t="shared" ref="K61:L61" si="14">D61/104</f>
        <v>0.19230769230769232</v>
      </c>
      <c r="L61" s="5">
        <f t="shared" si="14"/>
        <v>0.17307692307692307</v>
      </c>
    </row>
    <row r="62" spans="1:12" x14ac:dyDescent="0.25">
      <c r="A62" s="58" t="s">
        <v>117</v>
      </c>
      <c r="B62" s="118">
        <v>33</v>
      </c>
      <c r="C62" s="9">
        <v>30</v>
      </c>
      <c r="D62" s="118">
        <v>22</v>
      </c>
      <c r="E62" s="118">
        <v>7</v>
      </c>
      <c r="F62" s="58">
        <f t="shared" ref="F62:F73" si="15">SUM(B62:E62)</f>
        <v>92</v>
      </c>
      <c r="H62" s="58" t="s">
        <v>117</v>
      </c>
      <c r="I62" s="5">
        <f>B62/921</f>
        <v>3.5830618892508145E-2</v>
      </c>
      <c r="J62" s="5">
        <f>C62/921</f>
        <v>3.2573289902280131E-2</v>
      </c>
      <c r="K62" s="5">
        <f t="shared" ref="K62:L62" si="16">D62/921</f>
        <v>2.3887079261672096E-2</v>
      </c>
      <c r="L62" s="5">
        <f t="shared" si="16"/>
        <v>7.6004343105320303E-3</v>
      </c>
    </row>
    <row r="63" spans="1:12" x14ac:dyDescent="0.25">
      <c r="A63" s="58" t="s">
        <v>118</v>
      </c>
      <c r="B63" s="118">
        <v>59</v>
      </c>
      <c r="C63" s="9">
        <v>37</v>
      </c>
      <c r="D63" s="118">
        <v>3</v>
      </c>
      <c r="E63" s="118">
        <v>1</v>
      </c>
      <c r="F63" s="58">
        <f t="shared" si="15"/>
        <v>100</v>
      </c>
      <c r="H63" s="58" t="s">
        <v>118</v>
      </c>
      <c r="I63" s="5">
        <f>B63/100</f>
        <v>0.59</v>
      </c>
      <c r="J63" s="5">
        <f>C63/100</f>
        <v>0.37</v>
      </c>
      <c r="K63" s="5">
        <f t="shared" ref="K63:L63" si="17">D63/100</f>
        <v>0.03</v>
      </c>
      <c r="L63" s="5">
        <f t="shared" si="17"/>
        <v>0.01</v>
      </c>
    </row>
    <row r="64" spans="1:12" x14ac:dyDescent="0.25">
      <c r="A64" s="58" t="s">
        <v>805</v>
      </c>
      <c r="B64" s="118">
        <v>39</v>
      </c>
      <c r="C64" s="9">
        <v>42</v>
      </c>
      <c r="D64" s="118">
        <v>14</v>
      </c>
      <c r="E64" s="118">
        <v>6</v>
      </c>
      <c r="F64" s="58">
        <f t="shared" si="15"/>
        <v>101</v>
      </c>
      <c r="H64" s="58" t="s">
        <v>805</v>
      </c>
      <c r="I64" s="5">
        <f>B64/101</f>
        <v>0.38613861386138615</v>
      </c>
      <c r="J64" s="5">
        <f>C64/101</f>
        <v>0.41584158415841582</v>
      </c>
      <c r="K64" s="5">
        <f t="shared" ref="K64:L65" si="18">D64/101</f>
        <v>0.13861386138613863</v>
      </c>
      <c r="L64" s="5">
        <f t="shared" si="18"/>
        <v>5.9405940594059403E-2</v>
      </c>
    </row>
    <row r="65" spans="1:12" x14ac:dyDescent="0.25">
      <c r="A65" s="58" t="s">
        <v>119</v>
      </c>
      <c r="B65" s="118">
        <v>62</v>
      </c>
      <c r="C65" s="9">
        <v>31</v>
      </c>
      <c r="D65" s="118">
        <v>8</v>
      </c>
      <c r="E65" s="118">
        <v>0</v>
      </c>
      <c r="F65" s="58">
        <f t="shared" si="15"/>
        <v>101</v>
      </c>
      <c r="H65" s="58" t="s">
        <v>119</v>
      </c>
      <c r="I65" s="5">
        <f>B65/101</f>
        <v>0.61386138613861385</v>
      </c>
      <c r="J65" s="5">
        <f>C65/101</f>
        <v>0.30693069306930693</v>
      </c>
      <c r="K65" s="5">
        <f t="shared" si="18"/>
        <v>7.9207920792079209E-2</v>
      </c>
      <c r="L65" s="5">
        <f t="shared" si="18"/>
        <v>0</v>
      </c>
    </row>
    <row r="66" spans="1:12" x14ac:dyDescent="0.25">
      <c r="A66" s="58" t="s">
        <v>120</v>
      </c>
      <c r="B66" s="118">
        <v>27</v>
      </c>
      <c r="C66" s="9">
        <v>50</v>
      </c>
      <c r="D66" s="118">
        <v>21</v>
      </c>
      <c r="E66" s="118">
        <v>7</v>
      </c>
      <c r="F66" s="58">
        <f t="shared" si="15"/>
        <v>105</v>
      </c>
      <c r="H66" s="58" t="s">
        <v>120</v>
      </c>
      <c r="I66" s="5">
        <f>B66/105</f>
        <v>0.25714285714285712</v>
      </c>
      <c r="J66" s="5">
        <f>C66/105</f>
        <v>0.47619047619047616</v>
      </c>
      <c r="K66" s="5">
        <f t="shared" ref="K66:L66" si="19">D66/105</f>
        <v>0.2</v>
      </c>
      <c r="L66" s="5">
        <f t="shared" si="19"/>
        <v>6.6666666666666666E-2</v>
      </c>
    </row>
    <row r="67" spans="1:12" x14ac:dyDescent="0.25">
      <c r="A67" s="58" t="s">
        <v>121</v>
      </c>
      <c r="B67" s="118">
        <v>4</v>
      </c>
      <c r="C67" s="9">
        <v>12</v>
      </c>
      <c r="D67" s="118">
        <v>39</v>
      </c>
      <c r="E67" s="118">
        <v>48</v>
      </c>
      <c r="F67" s="58">
        <f t="shared" si="15"/>
        <v>103</v>
      </c>
      <c r="H67" s="58" t="s">
        <v>121</v>
      </c>
      <c r="I67" s="5">
        <f t="shared" ref="I67:J69" si="20">B67/103</f>
        <v>3.8834951456310676E-2</v>
      </c>
      <c r="J67" s="5">
        <f t="shared" si="20"/>
        <v>0.11650485436893204</v>
      </c>
      <c r="K67" s="5">
        <f t="shared" ref="K67:L69" si="21">D67/103</f>
        <v>0.37864077669902912</v>
      </c>
      <c r="L67" s="5">
        <f t="shared" si="21"/>
        <v>0.46601941747572817</v>
      </c>
    </row>
    <row r="68" spans="1:12" x14ac:dyDescent="0.25">
      <c r="A68" s="58" t="s">
        <v>122</v>
      </c>
      <c r="B68" s="118">
        <v>7</v>
      </c>
      <c r="C68" s="9">
        <v>32</v>
      </c>
      <c r="D68" s="118">
        <v>37</v>
      </c>
      <c r="E68" s="118">
        <v>27</v>
      </c>
      <c r="F68" s="58">
        <f t="shared" si="15"/>
        <v>103</v>
      </c>
      <c r="H68" s="58" t="s">
        <v>122</v>
      </c>
      <c r="I68" s="5">
        <f t="shared" si="20"/>
        <v>6.7961165048543687E-2</v>
      </c>
      <c r="J68" s="5">
        <f t="shared" si="20"/>
        <v>0.31067961165048541</v>
      </c>
      <c r="K68" s="5">
        <f t="shared" si="21"/>
        <v>0.35922330097087379</v>
      </c>
      <c r="L68" s="5">
        <f t="shared" si="21"/>
        <v>0.26213592233009708</v>
      </c>
    </row>
    <row r="69" spans="1:12" x14ac:dyDescent="0.25">
      <c r="A69" s="58" t="s">
        <v>123</v>
      </c>
      <c r="B69" s="118">
        <v>38</v>
      </c>
      <c r="C69" s="9">
        <v>48</v>
      </c>
      <c r="D69" s="118">
        <v>12</v>
      </c>
      <c r="E69" s="118">
        <v>5</v>
      </c>
      <c r="F69" s="58">
        <f t="shared" si="15"/>
        <v>103</v>
      </c>
      <c r="H69" s="58" t="s">
        <v>123</v>
      </c>
      <c r="I69" s="5">
        <f t="shared" si="20"/>
        <v>0.36893203883495146</v>
      </c>
      <c r="J69" s="5">
        <f t="shared" si="20"/>
        <v>0.46601941747572817</v>
      </c>
      <c r="K69" s="5">
        <f t="shared" si="21"/>
        <v>0.11650485436893204</v>
      </c>
      <c r="L69" s="5">
        <f t="shared" si="21"/>
        <v>4.8543689320388349E-2</v>
      </c>
    </row>
    <row r="70" spans="1:12" x14ac:dyDescent="0.25">
      <c r="A70" s="58" t="s">
        <v>124</v>
      </c>
      <c r="B70" s="118">
        <v>30</v>
      </c>
      <c r="C70" s="9">
        <v>53</v>
      </c>
      <c r="D70" s="118">
        <v>13</v>
      </c>
      <c r="E70" s="118">
        <v>8</v>
      </c>
      <c r="F70" s="58">
        <f t="shared" si="15"/>
        <v>104</v>
      </c>
      <c r="H70" s="58" t="s">
        <v>124</v>
      </c>
      <c r="I70" s="5">
        <f>B70/104</f>
        <v>0.28846153846153844</v>
      </c>
      <c r="J70" s="5">
        <f>C70/104</f>
        <v>0.50961538461538458</v>
      </c>
      <c r="K70" s="5">
        <f t="shared" ref="K70:L71" si="22">D70/104</f>
        <v>0.125</v>
      </c>
      <c r="L70" s="5">
        <f t="shared" si="22"/>
        <v>7.6923076923076927E-2</v>
      </c>
    </row>
    <row r="71" spans="1:12" x14ac:dyDescent="0.25">
      <c r="A71" s="58" t="s">
        <v>125</v>
      </c>
      <c r="B71" s="118">
        <v>10</v>
      </c>
      <c r="C71" s="9">
        <v>30</v>
      </c>
      <c r="D71" s="118">
        <v>25</v>
      </c>
      <c r="E71" s="118">
        <v>39</v>
      </c>
      <c r="F71" s="58">
        <f t="shared" si="15"/>
        <v>104</v>
      </c>
      <c r="H71" s="58" t="s">
        <v>125</v>
      </c>
      <c r="I71" s="5">
        <f>B71/104</f>
        <v>9.6153846153846159E-2</v>
      </c>
      <c r="J71" s="5">
        <f>C71/104</f>
        <v>0.28846153846153844</v>
      </c>
      <c r="K71" s="5">
        <f t="shared" si="22"/>
        <v>0.24038461538461539</v>
      </c>
      <c r="L71" s="5">
        <f t="shared" si="22"/>
        <v>0.375</v>
      </c>
    </row>
    <row r="72" spans="1:12" x14ac:dyDescent="0.25">
      <c r="A72" s="58" t="s">
        <v>126</v>
      </c>
      <c r="B72" s="118">
        <v>43</v>
      </c>
      <c r="C72" s="9">
        <v>39</v>
      </c>
      <c r="D72" s="118">
        <v>8</v>
      </c>
      <c r="E72" s="118">
        <v>13</v>
      </c>
      <c r="F72" s="58">
        <f t="shared" si="15"/>
        <v>103</v>
      </c>
      <c r="H72" s="58" t="s">
        <v>126</v>
      </c>
      <c r="I72" s="5">
        <f>B72/103</f>
        <v>0.41747572815533979</v>
      </c>
      <c r="J72" s="5">
        <f>C72/103</f>
        <v>0.37864077669902912</v>
      </c>
      <c r="K72" s="5">
        <f t="shared" ref="K72:L72" si="23">D72/103</f>
        <v>7.7669902912621352E-2</v>
      </c>
      <c r="L72" s="5">
        <f t="shared" si="23"/>
        <v>0.12621359223300971</v>
      </c>
    </row>
    <row r="73" spans="1:12" x14ac:dyDescent="0.25">
      <c r="A73" s="58" t="s">
        <v>127</v>
      </c>
      <c r="B73" s="118">
        <v>12</v>
      </c>
      <c r="C73" s="9">
        <v>27</v>
      </c>
      <c r="D73" s="118">
        <v>25</v>
      </c>
      <c r="E73" s="118">
        <v>38</v>
      </c>
      <c r="F73" s="58">
        <f t="shared" si="15"/>
        <v>102</v>
      </c>
      <c r="H73" s="58" t="s">
        <v>127</v>
      </c>
      <c r="I73" s="5">
        <f>B73/102</f>
        <v>0.11764705882352941</v>
      </c>
      <c r="J73" s="5">
        <f>C73/102</f>
        <v>0.26470588235294118</v>
      </c>
      <c r="K73" s="5">
        <f t="shared" ref="K73:L73" si="24">D73/102</f>
        <v>0.24509803921568626</v>
      </c>
      <c r="L73" s="5">
        <f t="shared" si="24"/>
        <v>0.37254901960784315</v>
      </c>
    </row>
    <row r="76" spans="1:12" x14ac:dyDescent="0.25">
      <c r="A76" s="56" t="s">
        <v>128</v>
      </c>
    </row>
    <row r="77" spans="1:12" x14ac:dyDescent="0.25">
      <c r="A77" s="58"/>
      <c r="B77" s="58" t="s">
        <v>10</v>
      </c>
      <c r="C77" s="5" t="s">
        <v>78</v>
      </c>
    </row>
    <row r="78" spans="1:12" x14ac:dyDescent="0.25">
      <c r="A78" s="58" t="s">
        <v>129</v>
      </c>
      <c r="B78" s="58">
        <v>60</v>
      </c>
      <c r="C78" s="5">
        <f>B78/106</f>
        <v>0.56603773584905659</v>
      </c>
    </row>
    <row r="79" spans="1:12" x14ac:dyDescent="0.25">
      <c r="A79" s="63">
        <v>1</v>
      </c>
      <c r="B79" s="58">
        <v>34</v>
      </c>
      <c r="C79" s="5">
        <f t="shared" ref="C79:C83" si="25">B79/106</f>
        <v>0.32075471698113206</v>
      </c>
    </row>
    <row r="80" spans="1:12" x14ac:dyDescent="0.25">
      <c r="A80" s="63">
        <v>2</v>
      </c>
      <c r="B80" s="58">
        <v>8</v>
      </c>
      <c r="C80" s="5">
        <f t="shared" si="25"/>
        <v>7.5471698113207544E-2</v>
      </c>
    </row>
    <row r="81" spans="1:3" x14ac:dyDescent="0.25">
      <c r="A81" s="63">
        <v>3</v>
      </c>
      <c r="B81" s="58">
        <v>3</v>
      </c>
      <c r="C81" s="5">
        <f t="shared" si="25"/>
        <v>2.8301886792452831E-2</v>
      </c>
    </row>
    <row r="82" spans="1:3" x14ac:dyDescent="0.25">
      <c r="A82" s="63">
        <v>4</v>
      </c>
      <c r="B82" s="58">
        <v>1</v>
      </c>
      <c r="C82" s="5">
        <f t="shared" si="25"/>
        <v>9.433962264150943E-3</v>
      </c>
    </row>
    <row r="83" spans="1:3" x14ac:dyDescent="0.25">
      <c r="A83" s="58" t="s">
        <v>53</v>
      </c>
      <c r="B83" s="58">
        <f>SUM(B78:B82)</f>
        <v>106</v>
      </c>
      <c r="C83" s="5">
        <f t="shared" si="25"/>
        <v>1</v>
      </c>
    </row>
    <row r="86" spans="1:3" x14ac:dyDescent="0.25">
      <c r="A86" s="56" t="s">
        <v>130</v>
      </c>
    </row>
    <row r="87" spans="1:3" x14ac:dyDescent="0.25">
      <c r="A87" s="58"/>
      <c r="B87" s="58" t="s">
        <v>10</v>
      </c>
      <c r="C87" s="5" t="s">
        <v>78</v>
      </c>
    </row>
    <row r="88" spans="1:3" x14ac:dyDescent="0.25">
      <c r="A88" s="58" t="s">
        <v>131</v>
      </c>
      <c r="B88" s="58">
        <v>6</v>
      </c>
      <c r="C88" s="5">
        <f>B88/107</f>
        <v>5.6074766355140186E-2</v>
      </c>
    </row>
    <row r="89" spans="1:3" x14ac:dyDescent="0.25">
      <c r="A89" s="58" t="s">
        <v>132</v>
      </c>
      <c r="B89" s="58">
        <v>44</v>
      </c>
      <c r="C89" s="5">
        <f t="shared" ref="C89:C93" si="26">B89/107</f>
        <v>0.41121495327102803</v>
      </c>
    </row>
    <row r="90" spans="1:3" x14ac:dyDescent="0.25">
      <c r="A90" s="58" t="s">
        <v>133</v>
      </c>
      <c r="B90" s="58">
        <v>18</v>
      </c>
      <c r="C90" s="5">
        <f t="shared" si="26"/>
        <v>0.16822429906542055</v>
      </c>
    </row>
    <row r="91" spans="1:3" x14ac:dyDescent="0.25">
      <c r="A91" s="58" t="s">
        <v>134</v>
      </c>
      <c r="B91" s="58">
        <v>1</v>
      </c>
      <c r="C91" s="5">
        <f t="shared" si="26"/>
        <v>9.3457943925233638E-3</v>
      </c>
    </row>
    <row r="92" spans="1:3" x14ac:dyDescent="0.25">
      <c r="A92" s="58" t="s">
        <v>135</v>
      </c>
      <c r="B92" s="58">
        <v>38</v>
      </c>
      <c r="C92" s="5">
        <f t="shared" si="26"/>
        <v>0.35514018691588783</v>
      </c>
    </row>
    <row r="93" spans="1:3" x14ac:dyDescent="0.25">
      <c r="A93" s="58" t="s">
        <v>53</v>
      </c>
      <c r="B93" s="58">
        <f>SUM(B88:B92)</f>
        <v>107</v>
      </c>
      <c r="C93" s="5">
        <f t="shared" si="26"/>
        <v>1</v>
      </c>
    </row>
  </sheetData>
  <mergeCells count="2">
    <mergeCell ref="B48:C48"/>
    <mergeCell ref="A3:K3"/>
  </mergeCells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1048576"/>
    </sheetView>
  </sheetViews>
  <sheetFormatPr defaultColWidth="21.5703125" defaultRowHeight="15" x14ac:dyDescent="0.25"/>
  <cols>
    <col min="1" max="1" width="21.5703125" style="56"/>
    <col min="2" max="2" width="13.42578125" style="56" customWidth="1"/>
    <col min="3" max="3" width="17" style="56" customWidth="1"/>
    <col min="4" max="4" width="20.140625" style="56" customWidth="1"/>
    <col min="5" max="5" width="12.85546875" style="56" customWidth="1"/>
    <col min="6" max="6" width="9.7109375" style="56" customWidth="1"/>
    <col min="7" max="7" width="4.85546875" style="56" customWidth="1"/>
    <col min="8" max="8" width="6.42578125" style="56" customWidth="1"/>
    <col min="9" max="9" width="21.5703125" style="56"/>
    <col min="10" max="10" width="9.85546875" style="56" customWidth="1"/>
    <col min="11" max="11" width="15.140625" style="56" customWidth="1"/>
    <col min="12" max="12" width="19.42578125" style="56" customWidth="1"/>
    <col min="13" max="13" width="15.85546875" style="56" customWidth="1"/>
    <col min="14" max="14" width="11.85546875" style="56" customWidth="1"/>
    <col min="15" max="16384" width="21.5703125" style="56"/>
  </cols>
  <sheetData>
    <row r="1" spans="1:14" x14ac:dyDescent="0.25">
      <c r="A1" s="56" t="s">
        <v>144</v>
      </c>
    </row>
    <row r="3" spans="1:14" x14ac:dyDescent="0.25">
      <c r="A3" s="58"/>
      <c r="B3" s="58" t="s">
        <v>145</v>
      </c>
      <c r="C3" s="58" t="s">
        <v>146</v>
      </c>
      <c r="D3" s="58" t="s">
        <v>147</v>
      </c>
      <c r="E3" s="58" t="s">
        <v>148</v>
      </c>
      <c r="F3" s="58" t="s">
        <v>53</v>
      </c>
      <c r="I3" s="58"/>
      <c r="J3" s="58" t="s">
        <v>145</v>
      </c>
      <c r="K3" s="58" t="s">
        <v>146</v>
      </c>
      <c r="L3" s="58" t="s">
        <v>147</v>
      </c>
      <c r="M3" s="58" t="s">
        <v>148</v>
      </c>
      <c r="N3" s="58" t="s">
        <v>53</v>
      </c>
    </row>
    <row r="4" spans="1:14" x14ac:dyDescent="0.25">
      <c r="A4" s="58" t="s">
        <v>142</v>
      </c>
      <c r="B4" s="58">
        <v>137</v>
      </c>
      <c r="C4" s="58">
        <v>99</v>
      </c>
      <c r="D4" s="58">
        <v>77</v>
      </c>
      <c r="E4" s="58">
        <v>26</v>
      </c>
      <c r="F4" s="58">
        <f>SUM(B4:E4)</f>
        <v>339</v>
      </c>
      <c r="I4" s="58" t="s">
        <v>142</v>
      </c>
      <c r="J4" s="5">
        <f>B4/339</f>
        <v>0.40412979351032446</v>
      </c>
      <c r="K4" s="5">
        <f t="shared" ref="K4:N4" si="0">C4/339</f>
        <v>0.29203539823008851</v>
      </c>
      <c r="L4" s="5">
        <f t="shared" si="0"/>
        <v>0.22713864306784662</v>
      </c>
      <c r="M4" s="5">
        <f t="shared" si="0"/>
        <v>7.6696165191740412E-2</v>
      </c>
      <c r="N4" s="5">
        <f t="shared" si="0"/>
        <v>1</v>
      </c>
    </row>
    <row r="5" spans="1:14" x14ac:dyDescent="0.25">
      <c r="A5" s="58" t="s">
        <v>143</v>
      </c>
      <c r="B5" s="58">
        <v>296</v>
      </c>
      <c r="C5" s="58">
        <v>69</v>
      </c>
      <c r="D5" s="58">
        <v>14</v>
      </c>
      <c r="E5" s="58">
        <v>0</v>
      </c>
      <c r="F5" s="58">
        <f>SUM(B5:E5)</f>
        <v>379</v>
      </c>
      <c r="I5" s="58" t="s">
        <v>143</v>
      </c>
      <c r="J5" s="5">
        <f>B5/379</f>
        <v>0.78100263852242746</v>
      </c>
      <c r="K5" s="5">
        <f t="shared" ref="K5:N5" si="1">C5/379</f>
        <v>0.18205804749340371</v>
      </c>
      <c r="L5" s="5">
        <f t="shared" si="1"/>
        <v>3.6939313984168866E-2</v>
      </c>
      <c r="M5" s="5">
        <f t="shared" si="1"/>
        <v>0</v>
      </c>
      <c r="N5" s="5">
        <f t="shared" si="1"/>
        <v>1</v>
      </c>
    </row>
    <row r="6" spans="1:14" x14ac:dyDescent="0.25">
      <c r="A6" s="58" t="s">
        <v>149</v>
      </c>
      <c r="B6" s="58">
        <v>87</v>
      </c>
      <c r="C6" s="58">
        <v>139</v>
      </c>
      <c r="D6" s="58">
        <v>106</v>
      </c>
      <c r="E6" s="58">
        <v>10</v>
      </c>
      <c r="F6" s="58">
        <f>SUM(B6:E6)</f>
        <v>342</v>
      </c>
      <c r="I6" s="58" t="s">
        <v>149</v>
      </c>
      <c r="J6" s="5">
        <f>B6/342</f>
        <v>0.25438596491228072</v>
      </c>
      <c r="K6" s="5">
        <f t="shared" ref="K6:N6" si="2">C6/342</f>
        <v>0.4064327485380117</v>
      </c>
      <c r="L6" s="5">
        <f t="shared" si="2"/>
        <v>0.30994152046783624</v>
      </c>
      <c r="M6" s="5">
        <f t="shared" si="2"/>
        <v>2.9239766081871343E-2</v>
      </c>
      <c r="N6" s="5">
        <f t="shared" si="2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H12" sqref="H12"/>
    </sheetView>
  </sheetViews>
  <sheetFormatPr defaultRowHeight="15" x14ac:dyDescent="0.25"/>
  <cols>
    <col min="1" max="1" width="45.5703125" customWidth="1"/>
    <col min="2" max="2" width="10.42578125" customWidth="1"/>
    <col min="3" max="3" width="11.7109375" customWidth="1"/>
    <col min="10" max="10" width="45.28515625" bestFit="1" customWidth="1"/>
  </cols>
  <sheetData>
    <row r="1" spans="1:3" x14ac:dyDescent="0.25">
      <c r="A1" t="s">
        <v>150</v>
      </c>
    </row>
    <row r="2" spans="1:3" x14ac:dyDescent="0.25">
      <c r="A2" s="4"/>
      <c r="B2" s="4" t="s">
        <v>10</v>
      </c>
      <c r="C2" s="4" t="s">
        <v>78</v>
      </c>
    </row>
    <row r="3" spans="1:3" x14ac:dyDescent="0.25">
      <c r="A3" s="4">
        <v>0</v>
      </c>
      <c r="B3" s="4">
        <v>28</v>
      </c>
      <c r="C3" s="5">
        <f>B3/383</f>
        <v>7.3107049608355096E-2</v>
      </c>
    </row>
    <row r="4" spans="1:3" x14ac:dyDescent="0.25">
      <c r="A4" s="4">
        <v>1</v>
      </c>
      <c r="B4" s="4">
        <v>86</v>
      </c>
      <c r="C4" s="5">
        <f t="shared" ref="C4:C14" si="0">B4/383</f>
        <v>0.22454308093994779</v>
      </c>
    </row>
    <row r="5" spans="1:3" x14ac:dyDescent="0.25">
      <c r="A5" s="4">
        <v>2</v>
      </c>
      <c r="B5" s="4">
        <v>115</v>
      </c>
      <c r="C5" s="5">
        <f t="shared" si="0"/>
        <v>0.30026109660574413</v>
      </c>
    </row>
    <row r="6" spans="1:3" x14ac:dyDescent="0.25">
      <c r="A6" s="4">
        <v>3</v>
      </c>
      <c r="B6" s="4">
        <v>96</v>
      </c>
      <c r="C6" s="5">
        <f t="shared" si="0"/>
        <v>0.25065274151436029</v>
      </c>
    </row>
    <row r="7" spans="1:3" x14ac:dyDescent="0.25">
      <c r="A7" s="4">
        <v>4</v>
      </c>
      <c r="B7" s="4">
        <v>39</v>
      </c>
      <c r="C7" s="5">
        <f t="shared" si="0"/>
        <v>0.10182767624020887</v>
      </c>
    </row>
    <row r="8" spans="1:3" x14ac:dyDescent="0.25">
      <c r="A8" s="4">
        <v>5</v>
      </c>
      <c r="B8" s="4">
        <v>9</v>
      </c>
      <c r="C8" s="5">
        <f t="shared" si="0"/>
        <v>2.3498694516971279E-2</v>
      </c>
    </row>
    <row r="9" spans="1:3" x14ac:dyDescent="0.25">
      <c r="A9" s="4">
        <v>6</v>
      </c>
      <c r="B9" s="4">
        <v>4</v>
      </c>
      <c r="C9" s="5">
        <f t="shared" si="0"/>
        <v>1.0443864229765013E-2</v>
      </c>
    </row>
    <row r="10" spans="1:3" x14ac:dyDescent="0.25">
      <c r="A10" s="4">
        <v>7</v>
      </c>
      <c r="B10" s="4">
        <v>1</v>
      </c>
      <c r="C10" s="5">
        <f t="shared" si="0"/>
        <v>2.6109660574412533E-3</v>
      </c>
    </row>
    <row r="11" spans="1:3" x14ac:dyDescent="0.25">
      <c r="A11" s="4">
        <v>8</v>
      </c>
      <c r="B11" s="4">
        <v>2</v>
      </c>
      <c r="C11" s="5">
        <f t="shared" si="0"/>
        <v>5.2219321148825066E-3</v>
      </c>
    </row>
    <row r="12" spans="1:3" x14ac:dyDescent="0.25">
      <c r="A12" s="4">
        <v>9</v>
      </c>
      <c r="B12" s="4">
        <v>1</v>
      </c>
      <c r="C12" s="5">
        <f t="shared" si="0"/>
        <v>2.6109660574412533E-3</v>
      </c>
    </row>
    <row r="13" spans="1:3" x14ac:dyDescent="0.25">
      <c r="A13" s="4">
        <v>10</v>
      </c>
      <c r="B13" s="4">
        <v>2</v>
      </c>
      <c r="C13" s="5">
        <f t="shared" si="0"/>
        <v>5.2219321148825066E-3</v>
      </c>
    </row>
    <row r="14" spans="1:3" x14ac:dyDescent="0.25">
      <c r="A14" s="4" t="s">
        <v>53</v>
      </c>
      <c r="B14" s="4">
        <f>SUM(B3:B13)</f>
        <v>383</v>
      </c>
      <c r="C14" s="5">
        <f t="shared" si="0"/>
        <v>1</v>
      </c>
    </row>
    <row r="17" spans="1:16" x14ac:dyDescent="0.25">
      <c r="A17" t="s">
        <v>151</v>
      </c>
    </row>
    <row r="19" spans="1:16" x14ac:dyDescent="0.25">
      <c r="A19" s="4"/>
      <c r="B19" s="7">
        <v>0</v>
      </c>
      <c r="C19" s="12" t="s">
        <v>152</v>
      </c>
      <c r="D19" s="12" t="s">
        <v>153</v>
      </c>
      <c r="E19" s="12" t="s">
        <v>154</v>
      </c>
      <c r="F19" s="12" t="s">
        <v>155</v>
      </c>
      <c r="G19" s="12" t="s">
        <v>53</v>
      </c>
      <c r="J19" s="4"/>
      <c r="K19" s="7">
        <v>0</v>
      </c>
      <c r="L19" s="12" t="s">
        <v>152</v>
      </c>
      <c r="M19" s="12" t="s">
        <v>153</v>
      </c>
      <c r="N19" s="12" t="s">
        <v>154</v>
      </c>
      <c r="O19" s="12" t="s">
        <v>155</v>
      </c>
      <c r="P19" s="12" t="s">
        <v>53</v>
      </c>
    </row>
    <row r="20" spans="1:16" x14ac:dyDescent="0.25">
      <c r="A20" s="4" t="s">
        <v>156</v>
      </c>
      <c r="B20" s="4">
        <v>161</v>
      </c>
      <c r="C20" s="4">
        <v>101</v>
      </c>
      <c r="D20" s="4">
        <v>19</v>
      </c>
      <c r="E20" s="4">
        <v>3</v>
      </c>
      <c r="F20" s="4">
        <v>1</v>
      </c>
      <c r="G20" s="4">
        <f>SUM(B20:F20)</f>
        <v>285</v>
      </c>
      <c r="J20" s="4" t="s">
        <v>156</v>
      </c>
      <c r="K20" s="5">
        <f>B20/285</f>
        <v>0.56491228070175437</v>
      </c>
      <c r="L20" s="5">
        <f t="shared" ref="L20:P20" si="1">C20/285</f>
        <v>0.35438596491228069</v>
      </c>
      <c r="M20" s="5">
        <f t="shared" si="1"/>
        <v>6.6666666666666666E-2</v>
      </c>
      <c r="N20" s="5">
        <f t="shared" si="1"/>
        <v>1.0526315789473684E-2</v>
      </c>
      <c r="O20" s="5">
        <f t="shared" si="1"/>
        <v>3.5087719298245615E-3</v>
      </c>
      <c r="P20" s="5">
        <f t="shared" si="1"/>
        <v>1</v>
      </c>
    </row>
    <row r="21" spans="1:16" x14ac:dyDescent="0.25">
      <c r="A21" s="4" t="s">
        <v>157</v>
      </c>
      <c r="B21" s="4">
        <v>64</v>
      </c>
      <c r="C21" s="4">
        <v>196</v>
      </c>
      <c r="D21" s="4">
        <v>48</v>
      </c>
      <c r="E21" s="4">
        <v>5</v>
      </c>
      <c r="F21" s="4">
        <v>2</v>
      </c>
      <c r="G21" s="4">
        <f t="shared" ref="G21:G24" si="2">SUM(B21:F21)</f>
        <v>315</v>
      </c>
      <c r="J21" s="4" t="s">
        <v>157</v>
      </c>
      <c r="K21" s="5">
        <f>B21/315</f>
        <v>0.20317460317460317</v>
      </c>
      <c r="L21" s="5">
        <f t="shared" ref="L21:P21" si="3">C21/315</f>
        <v>0.62222222222222223</v>
      </c>
      <c r="M21" s="5">
        <f t="shared" si="3"/>
        <v>0.15238095238095239</v>
      </c>
      <c r="N21" s="5">
        <f t="shared" si="3"/>
        <v>1.5873015873015872E-2</v>
      </c>
      <c r="O21" s="5">
        <f t="shared" si="3"/>
        <v>6.3492063492063492E-3</v>
      </c>
      <c r="P21" s="5">
        <f t="shared" si="3"/>
        <v>1</v>
      </c>
    </row>
    <row r="22" spans="1:16" x14ac:dyDescent="0.25">
      <c r="A22" s="4" t="s">
        <v>158</v>
      </c>
      <c r="B22" s="4">
        <v>137</v>
      </c>
      <c r="C22" s="4">
        <v>106</v>
      </c>
      <c r="D22" s="4">
        <v>6</v>
      </c>
      <c r="E22" s="4">
        <v>1</v>
      </c>
      <c r="F22" s="4">
        <v>2</v>
      </c>
      <c r="G22" s="4">
        <f t="shared" si="2"/>
        <v>252</v>
      </c>
      <c r="J22" s="4" t="s">
        <v>158</v>
      </c>
      <c r="K22" s="5">
        <f>B22/252</f>
        <v>0.54365079365079361</v>
      </c>
      <c r="L22" s="5">
        <f t="shared" ref="L22:P22" si="4">C22/252</f>
        <v>0.42063492063492064</v>
      </c>
      <c r="M22" s="5">
        <f t="shared" si="4"/>
        <v>2.3809523809523808E-2</v>
      </c>
      <c r="N22" s="5">
        <f t="shared" si="4"/>
        <v>3.968253968253968E-3</v>
      </c>
      <c r="O22" s="5">
        <f t="shared" si="4"/>
        <v>7.9365079365079361E-3</v>
      </c>
      <c r="P22" s="5">
        <f t="shared" si="4"/>
        <v>1</v>
      </c>
    </row>
    <row r="23" spans="1:16" x14ac:dyDescent="0.25">
      <c r="A23" s="4" t="s">
        <v>159</v>
      </c>
      <c r="B23" s="4">
        <v>212</v>
      </c>
      <c r="C23" s="4">
        <v>10</v>
      </c>
      <c r="D23" s="4">
        <v>0</v>
      </c>
      <c r="E23" s="4">
        <v>0</v>
      </c>
      <c r="F23" s="4">
        <v>0</v>
      </c>
      <c r="G23" s="4">
        <f t="shared" si="2"/>
        <v>222</v>
      </c>
      <c r="J23" s="4" t="s">
        <v>159</v>
      </c>
      <c r="K23" s="5">
        <f>B23/222</f>
        <v>0.95495495495495497</v>
      </c>
      <c r="L23" s="5">
        <f t="shared" ref="L23:P23" si="5">C23/222</f>
        <v>4.5045045045045043E-2</v>
      </c>
      <c r="M23" s="5">
        <f t="shared" si="5"/>
        <v>0</v>
      </c>
      <c r="N23" s="5">
        <f t="shared" si="5"/>
        <v>0</v>
      </c>
      <c r="O23" s="5">
        <f t="shared" si="5"/>
        <v>0</v>
      </c>
      <c r="P23" s="5">
        <f t="shared" si="5"/>
        <v>1</v>
      </c>
    </row>
    <row r="24" spans="1:16" x14ac:dyDescent="0.25">
      <c r="A24" s="4" t="s">
        <v>160</v>
      </c>
      <c r="B24" s="4">
        <v>113</v>
      </c>
      <c r="C24" s="4">
        <v>158</v>
      </c>
      <c r="D24" s="4">
        <v>6</v>
      </c>
      <c r="E24" s="4">
        <v>0</v>
      </c>
      <c r="F24" s="4">
        <v>0</v>
      </c>
      <c r="G24" s="4">
        <f t="shared" si="2"/>
        <v>277</v>
      </c>
      <c r="J24" s="4" t="s">
        <v>160</v>
      </c>
      <c r="K24" s="5">
        <f>B24/277</f>
        <v>0.40794223826714804</v>
      </c>
      <c r="L24" s="5">
        <f t="shared" ref="L24:P24" si="6">C24/277</f>
        <v>0.5703971119133574</v>
      </c>
      <c r="M24" s="5">
        <f t="shared" si="6"/>
        <v>2.1660649819494584E-2</v>
      </c>
      <c r="N24" s="5">
        <f t="shared" si="6"/>
        <v>0</v>
      </c>
      <c r="O24" s="5">
        <f t="shared" si="6"/>
        <v>0</v>
      </c>
      <c r="P24" s="5">
        <f t="shared" si="6"/>
        <v>1</v>
      </c>
    </row>
    <row r="27" spans="1:16" x14ac:dyDescent="0.25">
      <c r="A27" t="s">
        <v>161</v>
      </c>
    </row>
    <row r="28" spans="1:16" x14ac:dyDescent="0.25">
      <c r="A28" s="4"/>
      <c r="B28" s="15">
        <v>0</v>
      </c>
      <c r="C28" s="15" t="s">
        <v>152</v>
      </c>
      <c r="D28" s="15" t="s">
        <v>153</v>
      </c>
      <c r="E28" s="15" t="s">
        <v>154</v>
      </c>
      <c r="F28" s="15" t="s">
        <v>155</v>
      </c>
      <c r="G28" s="15" t="s">
        <v>53</v>
      </c>
      <c r="J28" s="4"/>
      <c r="K28" s="15">
        <v>0</v>
      </c>
      <c r="L28" s="15" t="s">
        <v>152</v>
      </c>
      <c r="M28" s="15" t="s">
        <v>153</v>
      </c>
      <c r="N28" s="15" t="s">
        <v>154</v>
      </c>
      <c r="O28" s="15" t="s">
        <v>155</v>
      </c>
      <c r="P28" s="15" t="s">
        <v>53</v>
      </c>
    </row>
    <row r="29" spans="1:16" x14ac:dyDescent="0.25">
      <c r="A29" s="4" t="s">
        <v>162</v>
      </c>
      <c r="B29" s="4">
        <v>9</v>
      </c>
      <c r="C29" s="4">
        <v>208</v>
      </c>
      <c r="D29" s="4">
        <v>115</v>
      </c>
      <c r="E29" s="4">
        <v>10</v>
      </c>
      <c r="F29" s="4">
        <v>7</v>
      </c>
      <c r="G29" s="4">
        <f>SUM(B29:F29)</f>
        <v>349</v>
      </c>
      <c r="J29" s="4" t="s">
        <v>162</v>
      </c>
      <c r="K29" s="5">
        <f>B29/349</f>
        <v>2.5787965616045846E-2</v>
      </c>
      <c r="L29" s="5">
        <f t="shared" ref="L29:P29" si="7">C29/349</f>
        <v>0.59598853868194845</v>
      </c>
      <c r="M29" s="5">
        <f t="shared" si="7"/>
        <v>0.32951289398280803</v>
      </c>
      <c r="N29" s="5">
        <f t="shared" si="7"/>
        <v>2.865329512893983E-2</v>
      </c>
      <c r="O29" s="5">
        <f t="shared" si="7"/>
        <v>2.0057306590257881E-2</v>
      </c>
      <c r="P29" s="5">
        <f t="shared" si="7"/>
        <v>1</v>
      </c>
    </row>
    <row r="30" spans="1:16" x14ac:dyDescent="0.25">
      <c r="A30" s="4" t="s">
        <v>163</v>
      </c>
      <c r="B30" s="4">
        <v>215</v>
      </c>
      <c r="C30" s="4">
        <v>44</v>
      </c>
      <c r="D30" s="4">
        <v>15</v>
      </c>
      <c r="E30" s="4">
        <v>5</v>
      </c>
      <c r="F30" s="4">
        <v>4</v>
      </c>
      <c r="G30" s="4">
        <f>SUM(B30:F30)</f>
        <v>283</v>
      </c>
      <c r="J30" s="4" t="s">
        <v>163</v>
      </c>
      <c r="K30" s="5">
        <f>B30/283</f>
        <v>0.75971731448763247</v>
      </c>
      <c r="L30" s="5">
        <f t="shared" ref="L30:P30" si="8">C30/283</f>
        <v>0.15547703180212014</v>
      </c>
      <c r="M30" s="5">
        <f t="shared" si="8"/>
        <v>5.3003533568904596E-2</v>
      </c>
      <c r="N30" s="5">
        <f t="shared" si="8"/>
        <v>1.7667844522968199E-2</v>
      </c>
      <c r="O30" s="5">
        <f t="shared" si="8"/>
        <v>1.4134275618374558E-2</v>
      </c>
      <c r="P30" s="5">
        <f t="shared" si="8"/>
        <v>1</v>
      </c>
    </row>
    <row r="33" spans="1:3" x14ac:dyDescent="0.25">
      <c r="A33" t="s">
        <v>164</v>
      </c>
    </row>
    <row r="34" spans="1:3" x14ac:dyDescent="0.25">
      <c r="A34" s="4"/>
      <c r="B34" s="4" t="s">
        <v>10</v>
      </c>
      <c r="C34" s="4" t="s">
        <v>78</v>
      </c>
    </row>
    <row r="35" spans="1:3" x14ac:dyDescent="0.25">
      <c r="A35" s="4" t="s">
        <v>165</v>
      </c>
      <c r="B35" s="4">
        <v>11</v>
      </c>
      <c r="C35" s="5">
        <f>B35/$B$39</f>
        <v>0.39285714285714285</v>
      </c>
    </row>
    <row r="36" spans="1:3" x14ac:dyDescent="0.25">
      <c r="A36" s="4" t="s">
        <v>160</v>
      </c>
      <c r="B36" s="4">
        <v>3</v>
      </c>
      <c r="C36" s="5">
        <f t="shared" ref="C36:C39" si="9">B36/$B$39</f>
        <v>0.10714285714285714</v>
      </c>
    </row>
    <row r="37" spans="1:3" x14ac:dyDescent="0.25">
      <c r="A37" s="4" t="s">
        <v>806</v>
      </c>
      <c r="B37" s="4">
        <v>0</v>
      </c>
      <c r="C37" s="5">
        <f t="shared" si="9"/>
        <v>0</v>
      </c>
    </row>
    <row r="38" spans="1:3" x14ac:dyDescent="0.25">
      <c r="A38" s="4" t="s">
        <v>166</v>
      </c>
      <c r="B38" s="4">
        <v>14</v>
      </c>
      <c r="C38" s="5">
        <f t="shared" si="9"/>
        <v>0.5</v>
      </c>
    </row>
    <row r="39" spans="1:3" x14ac:dyDescent="0.25">
      <c r="A39" s="4"/>
      <c r="B39" s="4">
        <f>SUM(B35:B38)</f>
        <v>28</v>
      </c>
      <c r="C39" s="5">
        <f t="shared" si="9"/>
        <v>1</v>
      </c>
    </row>
  </sheetData>
  <pageMargins left="0.7" right="0.7" top="0.75" bottom="0.75" header="0.3" footer="0.3"/>
  <pageSetup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37" workbookViewId="0">
      <selection activeCell="I12" sqref="I12"/>
    </sheetView>
  </sheetViews>
  <sheetFormatPr defaultRowHeight="15" x14ac:dyDescent="0.25"/>
  <cols>
    <col min="1" max="1" width="57" style="56" bestFit="1" customWidth="1"/>
    <col min="2" max="2" width="15" style="56" customWidth="1"/>
    <col min="3" max="3" width="12.85546875" style="56" customWidth="1"/>
    <col min="4" max="4" width="11.5703125" style="56" customWidth="1"/>
    <col min="5" max="5" width="12.140625" style="56" customWidth="1"/>
    <col min="6" max="6" width="9" style="56" bestFit="1" customWidth="1"/>
    <col min="7" max="8" width="9.140625" style="56"/>
    <col min="9" max="9" width="57" style="56" bestFit="1" customWidth="1"/>
    <col min="10" max="10" width="12.28515625" style="56" customWidth="1"/>
    <col min="11" max="11" width="11.5703125" style="56" customWidth="1"/>
    <col min="12" max="12" width="11.85546875" style="56" customWidth="1"/>
    <col min="13" max="13" width="10.42578125" style="56" customWidth="1"/>
    <col min="14" max="16384" width="9.140625" style="56"/>
  </cols>
  <sheetData>
    <row r="1" spans="1:15" x14ac:dyDescent="0.25">
      <c r="A1" s="3" t="s">
        <v>198</v>
      </c>
    </row>
    <row r="3" spans="1:15" x14ac:dyDescent="0.25">
      <c r="A3" s="56" t="s">
        <v>171</v>
      </c>
    </row>
    <row r="4" spans="1:15" ht="30" x14ac:dyDescent="0.25">
      <c r="A4" s="58"/>
      <c r="B4" s="69" t="s">
        <v>178</v>
      </c>
      <c r="C4" s="69" t="s">
        <v>179</v>
      </c>
      <c r="D4" s="69" t="s">
        <v>180</v>
      </c>
      <c r="E4" s="69" t="s">
        <v>181</v>
      </c>
      <c r="F4" s="69" t="s">
        <v>182</v>
      </c>
      <c r="G4" s="58" t="s">
        <v>53</v>
      </c>
      <c r="I4" s="58"/>
      <c r="J4" s="69" t="s">
        <v>178</v>
      </c>
      <c r="K4" s="69" t="s">
        <v>179</v>
      </c>
      <c r="L4" s="69" t="s">
        <v>180</v>
      </c>
      <c r="M4" s="69" t="s">
        <v>181</v>
      </c>
      <c r="N4" s="69" t="s">
        <v>182</v>
      </c>
      <c r="O4" s="69" t="s">
        <v>53</v>
      </c>
    </row>
    <row r="5" spans="1:15" x14ac:dyDescent="0.25">
      <c r="A5" s="58" t="s">
        <v>172</v>
      </c>
      <c r="B5" s="58">
        <v>63</v>
      </c>
      <c r="C5" s="58">
        <v>47</v>
      </c>
      <c r="D5" s="58">
        <v>65</v>
      </c>
      <c r="E5" s="58">
        <v>43</v>
      </c>
      <c r="F5" s="58">
        <v>30</v>
      </c>
      <c r="G5" s="58">
        <f t="shared" ref="G5:G10" si="0">SUM(B5:F5)</f>
        <v>248</v>
      </c>
      <c r="I5" s="58" t="s">
        <v>172</v>
      </c>
      <c r="J5" s="5">
        <f>B5/248</f>
        <v>0.25403225806451613</v>
      </c>
      <c r="K5" s="5">
        <f t="shared" ref="K5:O5" si="1">C5/248</f>
        <v>0.18951612903225806</v>
      </c>
      <c r="L5" s="5">
        <f t="shared" si="1"/>
        <v>0.26209677419354838</v>
      </c>
      <c r="M5" s="5">
        <f t="shared" si="1"/>
        <v>0.17338709677419356</v>
      </c>
      <c r="N5" s="5">
        <f t="shared" si="1"/>
        <v>0.12096774193548387</v>
      </c>
      <c r="O5" s="5">
        <f t="shared" si="1"/>
        <v>1</v>
      </c>
    </row>
    <row r="6" spans="1:15" x14ac:dyDescent="0.25">
      <c r="A6" s="58" t="s">
        <v>173</v>
      </c>
      <c r="B6" s="58">
        <v>67</v>
      </c>
      <c r="C6" s="58">
        <v>59</v>
      </c>
      <c r="D6" s="58">
        <v>62</v>
      </c>
      <c r="E6" s="58">
        <v>32</v>
      </c>
      <c r="F6" s="58">
        <v>25</v>
      </c>
      <c r="G6" s="58">
        <f t="shared" si="0"/>
        <v>245</v>
      </c>
      <c r="I6" s="58" t="s">
        <v>173</v>
      </c>
      <c r="J6" s="5">
        <f>B6/245</f>
        <v>0.27346938775510204</v>
      </c>
      <c r="K6" s="5">
        <f t="shared" ref="K6:O6" si="2">C6/245</f>
        <v>0.24081632653061225</v>
      </c>
      <c r="L6" s="5">
        <f t="shared" si="2"/>
        <v>0.2530612244897959</v>
      </c>
      <c r="M6" s="5">
        <f t="shared" si="2"/>
        <v>0.1306122448979592</v>
      </c>
      <c r="N6" s="5">
        <f t="shared" si="2"/>
        <v>0.10204081632653061</v>
      </c>
      <c r="O6" s="5">
        <f t="shared" si="2"/>
        <v>1</v>
      </c>
    </row>
    <row r="7" spans="1:15" x14ac:dyDescent="0.25">
      <c r="A7" s="58" t="s">
        <v>174</v>
      </c>
      <c r="B7" s="58">
        <v>38</v>
      </c>
      <c r="C7" s="58">
        <v>41</v>
      </c>
      <c r="D7" s="58">
        <v>71</v>
      </c>
      <c r="E7" s="58">
        <v>49</v>
      </c>
      <c r="F7" s="58">
        <v>45</v>
      </c>
      <c r="G7" s="58">
        <f t="shared" si="0"/>
        <v>244</v>
      </c>
      <c r="I7" s="58" t="s">
        <v>174</v>
      </c>
      <c r="J7" s="5">
        <f>B7/244</f>
        <v>0.15573770491803279</v>
      </c>
      <c r="K7" s="5">
        <f t="shared" ref="K7:O7" si="3">C7/244</f>
        <v>0.16803278688524589</v>
      </c>
      <c r="L7" s="5">
        <f t="shared" si="3"/>
        <v>0.29098360655737704</v>
      </c>
      <c r="M7" s="5">
        <f t="shared" si="3"/>
        <v>0.20081967213114754</v>
      </c>
      <c r="N7" s="5">
        <f t="shared" si="3"/>
        <v>0.18442622950819673</v>
      </c>
      <c r="O7" s="5">
        <f t="shared" si="3"/>
        <v>1</v>
      </c>
    </row>
    <row r="8" spans="1:15" x14ac:dyDescent="0.25">
      <c r="A8" s="58" t="s">
        <v>175</v>
      </c>
      <c r="B8" s="58">
        <v>27</v>
      </c>
      <c r="C8" s="58">
        <v>16</v>
      </c>
      <c r="D8" s="58">
        <v>34</v>
      </c>
      <c r="E8" s="58">
        <v>20</v>
      </c>
      <c r="F8" s="58">
        <v>148</v>
      </c>
      <c r="G8" s="58">
        <f t="shared" si="0"/>
        <v>245</v>
      </c>
      <c r="I8" s="58" t="s">
        <v>175</v>
      </c>
      <c r="J8" s="5">
        <f>B8/245</f>
        <v>0.11020408163265306</v>
      </c>
      <c r="K8" s="5">
        <f t="shared" ref="K8:O8" si="4">C8/245</f>
        <v>6.5306122448979598E-2</v>
      </c>
      <c r="L8" s="5">
        <f t="shared" si="4"/>
        <v>0.13877551020408163</v>
      </c>
      <c r="M8" s="5">
        <f t="shared" si="4"/>
        <v>8.1632653061224483E-2</v>
      </c>
      <c r="N8" s="5">
        <f t="shared" si="4"/>
        <v>0.60408163265306125</v>
      </c>
      <c r="O8" s="5">
        <f t="shared" si="4"/>
        <v>1</v>
      </c>
    </row>
    <row r="9" spans="1:15" x14ac:dyDescent="0.25">
      <c r="A9" s="58" t="s">
        <v>176</v>
      </c>
      <c r="B9" s="58">
        <v>27</v>
      </c>
      <c r="C9" s="58">
        <v>18</v>
      </c>
      <c r="D9" s="58">
        <v>22</v>
      </c>
      <c r="E9" s="58">
        <v>14</v>
      </c>
      <c r="F9" s="58">
        <v>165</v>
      </c>
      <c r="G9" s="58">
        <f t="shared" si="0"/>
        <v>246</v>
      </c>
      <c r="I9" s="58" t="s">
        <v>176</v>
      </c>
      <c r="J9" s="5">
        <f>B9/246</f>
        <v>0.10975609756097561</v>
      </c>
      <c r="K9" s="5">
        <f t="shared" ref="K9:O9" si="5">C9/246</f>
        <v>7.3170731707317069E-2</v>
      </c>
      <c r="L9" s="5">
        <f t="shared" si="5"/>
        <v>8.943089430894309E-2</v>
      </c>
      <c r="M9" s="5">
        <f t="shared" si="5"/>
        <v>5.6910569105691054E-2</v>
      </c>
      <c r="N9" s="5">
        <f t="shared" si="5"/>
        <v>0.67073170731707321</v>
      </c>
      <c r="O9" s="5">
        <f t="shared" si="5"/>
        <v>1</v>
      </c>
    </row>
    <row r="10" spans="1:15" x14ac:dyDescent="0.25">
      <c r="A10" s="58" t="s">
        <v>177</v>
      </c>
      <c r="B10" s="58">
        <v>20</v>
      </c>
      <c r="C10" s="58">
        <v>15</v>
      </c>
      <c r="D10" s="58">
        <v>20</v>
      </c>
      <c r="E10" s="58">
        <v>27</v>
      </c>
      <c r="F10" s="58">
        <v>166</v>
      </c>
      <c r="G10" s="58">
        <f t="shared" si="0"/>
        <v>248</v>
      </c>
      <c r="I10" s="58" t="s">
        <v>177</v>
      </c>
      <c r="J10" s="5">
        <f>B10/248</f>
        <v>8.0645161290322578E-2</v>
      </c>
      <c r="K10" s="5">
        <f t="shared" ref="K10:O10" si="6">C10/248</f>
        <v>6.0483870967741937E-2</v>
      </c>
      <c r="L10" s="5">
        <f t="shared" si="6"/>
        <v>8.0645161290322578E-2</v>
      </c>
      <c r="M10" s="5">
        <f t="shared" si="6"/>
        <v>0.10887096774193548</v>
      </c>
      <c r="N10" s="5">
        <f t="shared" si="6"/>
        <v>0.66935483870967738</v>
      </c>
      <c r="O10" s="5">
        <f t="shared" si="6"/>
        <v>1</v>
      </c>
    </row>
    <row r="13" spans="1:15" x14ac:dyDescent="0.25">
      <c r="A13" s="56" t="s">
        <v>184</v>
      </c>
      <c r="I13" s="56" t="s">
        <v>187</v>
      </c>
    </row>
    <row r="15" spans="1:15" x14ac:dyDescent="0.25">
      <c r="A15" s="56" t="s">
        <v>185</v>
      </c>
      <c r="I15" s="58" t="s">
        <v>188</v>
      </c>
      <c r="J15" s="58"/>
      <c r="K15" s="58"/>
    </row>
    <row r="16" spans="1:15" x14ac:dyDescent="0.25">
      <c r="A16" s="58"/>
      <c r="B16" s="58" t="s">
        <v>10</v>
      </c>
      <c r="C16" s="58" t="s">
        <v>78</v>
      </c>
      <c r="I16" s="58"/>
      <c r="J16" s="58" t="s">
        <v>10</v>
      </c>
      <c r="K16" s="58" t="s">
        <v>78</v>
      </c>
    </row>
    <row r="17" spans="1:11" x14ac:dyDescent="0.25">
      <c r="A17" s="58">
        <v>0</v>
      </c>
      <c r="B17" s="58">
        <v>95</v>
      </c>
      <c r="C17" s="5">
        <f>B17/246</f>
        <v>0.38617886178861788</v>
      </c>
      <c r="I17" s="58">
        <v>0</v>
      </c>
      <c r="J17" s="58">
        <v>62</v>
      </c>
      <c r="K17" s="5">
        <f>J17/151</f>
        <v>0.41059602649006621</v>
      </c>
    </row>
    <row r="18" spans="1:11" x14ac:dyDescent="0.25">
      <c r="A18" s="58">
        <v>1</v>
      </c>
      <c r="B18" s="58">
        <v>34</v>
      </c>
      <c r="C18" s="5">
        <f t="shared" ref="C18:C29" si="7">B18/246</f>
        <v>0.13821138211382114</v>
      </c>
      <c r="I18" s="58">
        <v>1</v>
      </c>
      <c r="J18" s="58">
        <v>33</v>
      </c>
      <c r="K18" s="5">
        <f t="shared" ref="K18:K29" si="8">J18/151</f>
        <v>0.2185430463576159</v>
      </c>
    </row>
    <row r="19" spans="1:11" x14ac:dyDescent="0.25">
      <c r="A19" s="58">
        <v>2</v>
      </c>
      <c r="B19" s="58">
        <v>27</v>
      </c>
      <c r="C19" s="5">
        <f t="shared" si="7"/>
        <v>0.10975609756097561</v>
      </c>
      <c r="I19" s="58">
        <v>2</v>
      </c>
      <c r="J19" s="58">
        <v>28</v>
      </c>
      <c r="K19" s="5">
        <f t="shared" si="8"/>
        <v>0.18543046357615894</v>
      </c>
    </row>
    <row r="20" spans="1:11" x14ac:dyDescent="0.25">
      <c r="A20" s="58">
        <v>3</v>
      </c>
      <c r="B20" s="58">
        <v>26</v>
      </c>
      <c r="C20" s="5">
        <f t="shared" si="7"/>
        <v>0.10569105691056911</v>
      </c>
      <c r="I20" s="58">
        <v>3</v>
      </c>
      <c r="J20" s="58">
        <v>10</v>
      </c>
      <c r="K20" s="5">
        <f t="shared" si="8"/>
        <v>6.6225165562913912E-2</v>
      </c>
    </row>
    <row r="21" spans="1:11" x14ac:dyDescent="0.25">
      <c r="A21" s="58">
        <v>4</v>
      </c>
      <c r="B21" s="58">
        <v>10</v>
      </c>
      <c r="C21" s="5">
        <f t="shared" si="7"/>
        <v>4.065040650406504E-2</v>
      </c>
      <c r="I21" s="58">
        <v>4</v>
      </c>
      <c r="J21" s="58">
        <v>9</v>
      </c>
      <c r="K21" s="5">
        <f t="shared" si="8"/>
        <v>5.9602649006622516E-2</v>
      </c>
    </row>
    <row r="22" spans="1:11" x14ac:dyDescent="0.25">
      <c r="A22" s="58">
        <v>5</v>
      </c>
      <c r="B22" s="58">
        <v>14</v>
      </c>
      <c r="C22" s="5">
        <f t="shared" si="7"/>
        <v>5.6910569105691054E-2</v>
      </c>
      <c r="I22" s="58">
        <v>5</v>
      </c>
      <c r="J22" s="58">
        <v>5</v>
      </c>
      <c r="K22" s="5">
        <f t="shared" si="8"/>
        <v>3.3112582781456956E-2</v>
      </c>
    </row>
    <row r="23" spans="1:11" x14ac:dyDescent="0.25">
      <c r="A23" s="58">
        <v>6</v>
      </c>
      <c r="B23" s="58">
        <v>8</v>
      </c>
      <c r="C23" s="5">
        <f t="shared" si="7"/>
        <v>3.2520325203252036E-2</v>
      </c>
      <c r="I23" s="58">
        <v>6</v>
      </c>
      <c r="J23" s="58">
        <v>1</v>
      </c>
      <c r="K23" s="5">
        <f t="shared" si="8"/>
        <v>6.6225165562913907E-3</v>
      </c>
    </row>
    <row r="24" spans="1:11" x14ac:dyDescent="0.25">
      <c r="A24" s="58">
        <v>7</v>
      </c>
      <c r="B24" s="58">
        <v>7</v>
      </c>
      <c r="C24" s="5">
        <f t="shared" si="7"/>
        <v>2.8455284552845527E-2</v>
      </c>
      <c r="I24" s="58">
        <v>7</v>
      </c>
      <c r="J24" s="58">
        <v>1</v>
      </c>
      <c r="K24" s="5">
        <f t="shared" si="8"/>
        <v>6.6225165562913907E-3</v>
      </c>
    </row>
    <row r="25" spans="1:11" x14ac:dyDescent="0.25">
      <c r="A25" s="58">
        <v>8</v>
      </c>
      <c r="B25" s="58">
        <v>2</v>
      </c>
      <c r="C25" s="5">
        <f t="shared" si="7"/>
        <v>8.130081300813009E-3</v>
      </c>
      <c r="I25" s="58">
        <v>8</v>
      </c>
      <c r="J25" s="58">
        <v>0</v>
      </c>
      <c r="K25" s="5">
        <f t="shared" si="8"/>
        <v>0</v>
      </c>
    </row>
    <row r="26" spans="1:11" x14ac:dyDescent="0.25">
      <c r="A26" s="58">
        <v>9</v>
      </c>
      <c r="B26" s="58">
        <v>1</v>
      </c>
      <c r="C26" s="5">
        <f t="shared" si="7"/>
        <v>4.0650406504065045E-3</v>
      </c>
      <c r="I26" s="58">
        <v>9</v>
      </c>
      <c r="J26" s="58">
        <v>1</v>
      </c>
      <c r="K26" s="5">
        <f t="shared" si="8"/>
        <v>6.6225165562913907E-3</v>
      </c>
    </row>
    <row r="27" spans="1:11" x14ac:dyDescent="0.25">
      <c r="A27" s="58">
        <v>10</v>
      </c>
      <c r="B27" s="58">
        <v>3</v>
      </c>
      <c r="C27" s="5">
        <f t="shared" si="7"/>
        <v>1.2195121951219513E-2</v>
      </c>
      <c r="I27" s="58">
        <v>10</v>
      </c>
      <c r="J27" s="58">
        <v>1</v>
      </c>
      <c r="K27" s="5">
        <f t="shared" si="8"/>
        <v>6.6225165562913907E-3</v>
      </c>
    </row>
    <row r="28" spans="1:11" x14ac:dyDescent="0.25">
      <c r="A28" s="58">
        <v>11</v>
      </c>
      <c r="B28" s="58">
        <v>19</v>
      </c>
      <c r="C28" s="5">
        <f t="shared" si="7"/>
        <v>7.7235772357723581E-2</v>
      </c>
      <c r="I28" s="58">
        <v>11</v>
      </c>
      <c r="J28" s="58">
        <v>0</v>
      </c>
      <c r="K28" s="5">
        <f t="shared" si="8"/>
        <v>0</v>
      </c>
    </row>
    <row r="29" spans="1:11" x14ac:dyDescent="0.25">
      <c r="A29" s="58" t="s">
        <v>53</v>
      </c>
      <c r="B29" s="58">
        <f>SUM(B17:B28)</f>
        <v>246</v>
      </c>
      <c r="C29" s="5">
        <f t="shared" si="7"/>
        <v>1</v>
      </c>
      <c r="I29" s="58" t="s">
        <v>53</v>
      </c>
      <c r="J29" s="58">
        <f>SUM(J17:J28)</f>
        <v>151</v>
      </c>
      <c r="K29" s="5">
        <f t="shared" si="8"/>
        <v>1</v>
      </c>
    </row>
    <row r="31" spans="1:11" x14ac:dyDescent="0.25">
      <c r="A31" s="56" t="s">
        <v>186</v>
      </c>
      <c r="I31" s="56" t="s">
        <v>189</v>
      </c>
    </row>
    <row r="32" spans="1:11" x14ac:dyDescent="0.25">
      <c r="A32" s="58"/>
      <c r="B32" s="58" t="s">
        <v>10</v>
      </c>
      <c r="C32" s="58" t="s">
        <v>78</v>
      </c>
      <c r="I32" s="58"/>
      <c r="J32" s="58" t="s">
        <v>10</v>
      </c>
      <c r="K32" s="58" t="s">
        <v>78</v>
      </c>
    </row>
    <row r="33" spans="1:11" x14ac:dyDescent="0.25">
      <c r="A33" s="58">
        <v>0</v>
      </c>
      <c r="B33" s="58">
        <v>144</v>
      </c>
      <c r="C33" s="5">
        <f>B33/245</f>
        <v>0.58775510204081638</v>
      </c>
      <c r="I33" s="58">
        <v>0</v>
      </c>
      <c r="J33" s="58">
        <v>56</v>
      </c>
      <c r="K33" s="5">
        <f>J33/100</f>
        <v>0.56000000000000005</v>
      </c>
    </row>
    <row r="34" spans="1:11" x14ac:dyDescent="0.25">
      <c r="A34" s="58">
        <v>1</v>
      </c>
      <c r="B34" s="58">
        <v>21</v>
      </c>
      <c r="C34" s="5">
        <f t="shared" ref="C34:C45" si="9">B34/245</f>
        <v>8.5714285714285715E-2</v>
      </c>
      <c r="I34" s="58">
        <v>1</v>
      </c>
      <c r="J34" s="58">
        <v>18</v>
      </c>
      <c r="K34" s="5">
        <f t="shared" ref="K34:K45" si="10">J34/100</f>
        <v>0.18</v>
      </c>
    </row>
    <row r="35" spans="1:11" x14ac:dyDescent="0.25">
      <c r="A35" s="58">
        <v>2</v>
      </c>
      <c r="B35" s="58">
        <v>23</v>
      </c>
      <c r="C35" s="5">
        <f t="shared" si="9"/>
        <v>9.3877551020408165E-2</v>
      </c>
      <c r="I35" s="58">
        <v>2</v>
      </c>
      <c r="J35" s="58">
        <v>11</v>
      </c>
      <c r="K35" s="5">
        <f t="shared" si="10"/>
        <v>0.11</v>
      </c>
    </row>
    <row r="36" spans="1:11" x14ac:dyDescent="0.25">
      <c r="A36" s="58">
        <v>3</v>
      </c>
      <c r="B36" s="58">
        <v>22</v>
      </c>
      <c r="C36" s="5">
        <f t="shared" si="9"/>
        <v>8.9795918367346933E-2</v>
      </c>
      <c r="I36" s="58">
        <v>3</v>
      </c>
      <c r="J36" s="58">
        <v>8</v>
      </c>
      <c r="K36" s="5">
        <f t="shared" si="10"/>
        <v>0.08</v>
      </c>
    </row>
    <row r="37" spans="1:11" x14ac:dyDescent="0.25">
      <c r="A37" s="58">
        <v>4</v>
      </c>
      <c r="B37" s="58">
        <v>9</v>
      </c>
      <c r="C37" s="5">
        <f t="shared" si="9"/>
        <v>3.6734693877551024E-2</v>
      </c>
      <c r="I37" s="58">
        <v>4</v>
      </c>
      <c r="J37" s="58">
        <v>3</v>
      </c>
      <c r="K37" s="5">
        <f t="shared" si="10"/>
        <v>0.03</v>
      </c>
    </row>
    <row r="38" spans="1:11" x14ac:dyDescent="0.25">
      <c r="A38" s="58">
        <v>5</v>
      </c>
      <c r="B38" s="58">
        <v>7</v>
      </c>
      <c r="C38" s="5">
        <f t="shared" si="9"/>
        <v>2.8571428571428571E-2</v>
      </c>
      <c r="I38" s="58">
        <v>5</v>
      </c>
      <c r="J38" s="58">
        <v>0</v>
      </c>
      <c r="K38" s="5">
        <f t="shared" si="10"/>
        <v>0</v>
      </c>
    </row>
    <row r="39" spans="1:11" x14ac:dyDescent="0.25">
      <c r="A39" s="58">
        <v>6</v>
      </c>
      <c r="B39" s="58">
        <v>6</v>
      </c>
      <c r="C39" s="5">
        <f t="shared" si="9"/>
        <v>2.4489795918367346E-2</v>
      </c>
      <c r="I39" s="58">
        <v>6</v>
      </c>
      <c r="J39" s="58">
        <v>0</v>
      </c>
      <c r="K39" s="5">
        <f t="shared" si="10"/>
        <v>0</v>
      </c>
    </row>
    <row r="40" spans="1:11" x14ac:dyDescent="0.25">
      <c r="A40" s="58">
        <v>7</v>
      </c>
      <c r="B40" s="58">
        <v>1</v>
      </c>
      <c r="C40" s="5">
        <f t="shared" si="9"/>
        <v>4.0816326530612249E-3</v>
      </c>
      <c r="I40" s="58">
        <v>7</v>
      </c>
      <c r="J40" s="58">
        <v>2</v>
      </c>
      <c r="K40" s="5">
        <f t="shared" si="10"/>
        <v>0.02</v>
      </c>
    </row>
    <row r="41" spans="1:11" x14ac:dyDescent="0.25">
      <c r="A41" s="58">
        <v>8</v>
      </c>
      <c r="B41" s="58">
        <v>3</v>
      </c>
      <c r="C41" s="5">
        <f t="shared" si="9"/>
        <v>1.2244897959183673E-2</v>
      </c>
      <c r="I41" s="58">
        <v>8</v>
      </c>
      <c r="J41" s="58">
        <v>0</v>
      </c>
      <c r="K41" s="5">
        <f t="shared" si="10"/>
        <v>0</v>
      </c>
    </row>
    <row r="42" spans="1:11" x14ac:dyDescent="0.25">
      <c r="A42" s="58">
        <v>9</v>
      </c>
      <c r="B42" s="58">
        <v>1</v>
      </c>
      <c r="C42" s="5">
        <f t="shared" si="9"/>
        <v>4.0816326530612249E-3</v>
      </c>
      <c r="I42" s="58">
        <v>9</v>
      </c>
      <c r="J42" s="58">
        <v>0</v>
      </c>
      <c r="K42" s="5">
        <f t="shared" si="10"/>
        <v>0</v>
      </c>
    </row>
    <row r="43" spans="1:11" x14ac:dyDescent="0.25">
      <c r="A43" s="58">
        <v>10</v>
      </c>
      <c r="B43" s="58">
        <v>0</v>
      </c>
      <c r="C43" s="5">
        <f t="shared" si="9"/>
        <v>0</v>
      </c>
      <c r="I43" s="58">
        <v>10</v>
      </c>
      <c r="J43" s="58">
        <v>0</v>
      </c>
      <c r="K43" s="5">
        <f t="shared" si="10"/>
        <v>0</v>
      </c>
    </row>
    <row r="44" spans="1:11" x14ac:dyDescent="0.25">
      <c r="A44" s="58">
        <v>11</v>
      </c>
      <c r="B44" s="58">
        <v>8</v>
      </c>
      <c r="C44" s="5">
        <f t="shared" si="9"/>
        <v>3.2653061224489799E-2</v>
      </c>
      <c r="I44" s="58">
        <v>11</v>
      </c>
      <c r="J44" s="58">
        <v>2</v>
      </c>
      <c r="K44" s="5">
        <f t="shared" si="10"/>
        <v>0.02</v>
      </c>
    </row>
    <row r="45" spans="1:11" x14ac:dyDescent="0.25">
      <c r="A45" s="58" t="s">
        <v>53</v>
      </c>
      <c r="B45" s="58">
        <f>SUM(B33:B44)</f>
        <v>245</v>
      </c>
      <c r="C45" s="5">
        <f t="shared" si="9"/>
        <v>1</v>
      </c>
      <c r="I45" s="58" t="s">
        <v>53</v>
      </c>
      <c r="J45" s="58">
        <f>SUM(J33:J44)</f>
        <v>100</v>
      </c>
      <c r="K45" s="5">
        <f t="shared" si="10"/>
        <v>1</v>
      </c>
    </row>
    <row r="48" spans="1:11" x14ac:dyDescent="0.25">
      <c r="A48" s="56" t="s">
        <v>194</v>
      </c>
    </row>
    <row r="49" spans="1:14" x14ac:dyDescent="0.25">
      <c r="A49" s="58"/>
      <c r="B49" s="58" t="s">
        <v>10</v>
      </c>
      <c r="C49" s="58" t="s">
        <v>78</v>
      </c>
    </row>
    <row r="50" spans="1:14" x14ac:dyDescent="0.25">
      <c r="A50" s="58">
        <v>0</v>
      </c>
      <c r="B50" s="58">
        <v>51</v>
      </c>
      <c r="C50" s="5">
        <f>B50/244</f>
        <v>0.20901639344262296</v>
      </c>
    </row>
    <row r="51" spans="1:14" x14ac:dyDescent="0.25">
      <c r="A51" s="58">
        <v>1</v>
      </c>
      <c r="B51" s="58">
        <v>121</v>
      </c>
      <c r="C51" s="5">
        <f t="shared" ref="C51:C58" si="11">B51/244</f>
        <v>0.49590163934426229</v>
      </c>
    </row>
    <row r="52" spans="1:14" x14ac:dyDescent="0.25">
      <c r="A52" s="58">
        <v>2</v>
      </c>
      <c r="B52" s="58">
        <v>41</v>
      </c>
      <c r="C52" s="5">
        <f t="shared" si="11"/>
        <v>0.16803278688524589</v>
      </c>
    </row>
    <row r="53" spans="1:14" x14ac:dyDescent="0.25">
      <c r="A53" s="58">
        <v>3</v>
      </c>
      <c r="B53" s="58">
        <v>20</v>
      </c>
      <c r="C53" s="5">
        <f t="shared" si="11"/>
        <v>8.1967213114754092E-2</v>
      </c>
    </row>
    <row r="54" spans="1:14" x14ac:dyDescent="0.25">
      <c r="A54" s="58">
        <v>4</v>
      </c>
      <c r="B54" s="58">
        <v>7</v>
      </c>
      <c r="C54" s="5">
        <f t="shared" si="11"/>
        <v>2.8688524590163935E-2</v>
      </c>
    </row>
    <row r="55" spans="1:14" x14ac:dyDescent="0.25">
      <c r="A55" s="58">
        <v>5</v>
      </c>
      <c r="B55" s="58">
        <v>1</v>
      </c>
      <c r="C55" s="5">
        <f t="shared" si="11"/>
        <v>4.0983606557377051E-3</v>
      </c>
    </row>
    <row r="56" spans="1:14" x14ac:dyDescent="0.25">
      <c r="A56" s="58">
        <v>6</v>
      </c>
      <c r="B56" s="58">
        <v>2</v>
      </c>
      <c r="C56" s="5">
        <f t="shared" si="11"/>
        <v>8.1967213114754103E-3</v>
      </c>
    </row>
    <row r="57" spans="1:14" x14ac:dyDescent="0.25">
      <c r="A57" s="58">
        <v>7</v>
      </c>
      <c r="B57" s="58">
        <v>1</v>
      </c>
      <c r="C57" s="5">
        <f t="shared" si="11"/>
        <v>4.0983606557377051E-3</v>
      </c>
    </row>
    <row r="58" spans="1:14" x14ac:dyDescent="0.25">
      <c r="A58" s="58" t="s">
        <v>53</v>
      </c>
      <c r="B58" s="58">
        <f>SUM(B50:B57)</f>
        <v>244</v>
      </c>
      <c r="C58" s="5">
        <f t="shared" si="11"/>
        <v>1</v>
      </c>
    </row>
    <row r="61" spans="1:14" x14ac:dyDescent="0.25">
      <c r="A61" s="56" t="s">
        <v>197</v>
      </c>
    </row>
    <row r="62" spans="1:14" ht="30" x14ac:dyDescent="0.25">
      <c r="A62" s="58"/>
      <c r="B62" s="69" t="s">
        <v>207</v>
      </c>
      <c r="C62" s="69" t="s">
        <v>208</v>
      </c>
      <c r="D62" s="69" t="s">
        <v>209</v>
      </c>
      <c r="E62" s="69" t="s">
        <v>100</v>
      </c>
      <c r="F62" s="58" t="s">
        <v>53</v>
      </c>
      <c r="I62" s="58"/>
      <c r="J62" s="69" t="s">
        <v>207</v>
      </c>
      <c r="K62" s="69" t="s">
        <v>208</v>
      </c>
      <c r="L62" s="69" t="s">
        <v>209</v>
      </c>
      <c r="M62" s="69" t="s">
        <v>100</v>
      </c>
      <c r="N62" s="58" t="s">
        <v>53</v>
      </c>
    </row>
    <row r="63" spans="1:14" x14ac:dyDescent="0.25">
      <c r="A63" s="58" t="s">
        <v>199</v>
      </c>
      <c r="B63" s="58">
        <v>48</v>
      </c>
      <c r="C63" s="58">
        <v>83</v>
      </c>
      <c r="D63" s="58">
        <v>56</v>
      </c>
      <c r="E63" s="58">
        <v>35</v>
      </c>
      <c r="F63" s="58">
        <f>SUM(B63:E63)</f>
        <v>222</v>
      </c>
      <c r="I63" s="58" t="s">
        <v>199</v>
      </c>
      <c r="J63" s="5">
        <f>B63/222</f>
        <v>0.21621621621621623</v>
      </c>
      <c r="K63" s="5">
        <f t="shared" ref="K63:N64" si="12">C63/222</f>
        <v>0.37387387387387389</v>
      </c>
      <c r="L63" s="5">
        <f t="shared" si="12"/>
        <v>0.25225225225225223</v>
      </c>
      <c r="M63" s="5">
        <f t="shared" si="12"/>
        <v>0.15765765765765766</v>
      </c>
      <c r="N63" s="5">
        <f t="shared" si="12"/>
        <v>1</v>
      </c>
    </row>
    <row r="64" spans="1:14" x14ac:dyDescent="0.25">
      <c r="A64" s="58" t="s">
        <v>200</v>
      </c>
      <c r="B64" s="58">
        <v>97</v>
      </c>
      <c r="C64" s="58">
        <v>68</v>
      </c>
      <c r="D64" s="58">
        <v>27</v>
      </c>
      <c r="E64" s="58">
        <v>30</v>
      </c>
      <c r="F64" s="58">
        <f t="shared" ref="F64:F72" si="13">SUM(B64:E64)</f>
        <v>222</v>
      </c>
      <c r="I64" s="58" t="s">
        <v>200</v>
      </c>
      <c r="J64" s="5">
        <f>B64/222</f>
        <v>0.43693693693693691</v>
      </c>
      <c r="K64" s="5">
        <f t="shared" si="12"/>
        <v>0.30630630630630629</v>
      </c>
      <c r="L64" s="5">
        <f t="shared" si="12"/>
        <v>0.12162162162162163</v>
      </c>
      <c r="M64" s="5">
        <f t="shared" si="12"/>
        <v>0.13513513513513514</v>
      </c>
      <c r="N64" s="5">
        <f t="shared" si="12"/>
        <v>1</v>
      </c>
    </row>
    <row r="65" spans="1:14" x14ac:dyDescent="0.25">
      <c r="A65" s="58" t="s">
        <v>201</v>
      </c>
      <c r="B65" s="58">
        <v>19</v>
      </c>
      <c r="C65" s="58">
        <v>58</v>
      </c>
      <c r="D65" s="58">
        <v>91</v>
      </c>
      <c r="E65" s="58">
        <v>53</v>
      </c>
      <c r="F65" s="58">
        <f t="shared" si="13"/>
        <v>221</v>
      </c>
      <c r="I65" s="58" t="s">
        <v>201</v>
      </c>
      <c r="J65" s="5">
        <f>B65/221</f>
        <v>8.5972850678733032E-2</v>
      </c>
      <c r="K65" s="5">
        <f t="shared" ref="K65:N65" si="14">C65/221</f>
        <v>0.26244343891402716</v>
      </c>
      <c r="L65" s="5">
        <f t="shared" si="14"/>
        <v>0.41176470588235292</v>
      </c>
      <c r="M65" s="5">
        <f t="shared" si="14"/>
        <v>0.23981900452488689</v>
      </c>
      <c r="N65" s="5">
        <f t="shared" si="14"/>
        <v>1</v>
      </c>
    </row>
    <row r="66" spans="1:14" x14ac:dyDescent="0.25">
      <c r="A66" s="58" t="s">
        <v>202</v>
      </c>
      <c r="B66" s="58">
        <v>84</v>
      </c>
      <c r="C66" s="58">
        <v>103</v>
      </c>
      <c r="D66" s="58">
        <v>16</v>
      </c>
      <c r="E66" s="58">
        <v>4</v>
      </c>
      <c r="F66" s="58">
        <f t="shared" si="13"/>
        <v>207</v>
      </c>
      <c r="I66" s="58" t="s">
        <v>202</v>
      </c>
      <c r="J66" s="5">
        <f>B66/207</f>
        <v>0.40579710144927539</v>
      </c>
      <c r="K66" s="5">
        <f t="shared" ref="K66:N66" si="15">C66/207</f>
        <v>0.49758454106280192</v>
      </c>
      <c r="L66" s="5">
        <f t="shared" si="15"/>
        <v>7.7294685990338161E-2</v>
      </c>
      <c r="M66" s="5">
        <f t="shared" si="15"/>
        <v>1.932367149758454E-2</v>
      </c>
      <c r="N66" s="5">
        <f t="shared" si="15"/>
        <v>1</v>
      </c>
    </row>
    <row r="67" spans="1:14" x14ac:dyDescent="0.25">
      <c r="A67" s="58" t="s">
        <v>210</v>
      </c>
      <c r="B67" s="58">
        <v>25</v>
      </c>
      <c r="C67" s="58">
        <v>56</v>
      </c>
      <c r="D67" s="58">
        <v>49</v>
      </c>
      <c r="E67" s="58">
        <v>92</v>
      </c>
      <c r="F67" s="58">
        <f t="shared" si="13"/>
        <v>222</v>
      </c>
      <c r="I67" s="58" t="s">
        <v>210</v>
      </c>
      <c r="J67" s="5">
        <f>B67/222</f>
        <v>0.11261261261261261</v>
      </c>
      <c r="K67" s="5">
        <f t="shared" ref="K67:N67" si="16">C67/222</f>
        <v>0.25225225225225223</v>
      </c>
      <c r="L67" s="5">
        <f t="shared" si="16"/>
        <v>0.22072072072072071</v>
      </c>
      <c r="M67" s="5">
        <f t="shared" si="16"/>
        <v>0.4144144144144144</v>
      </c>
      <c r="N67" s="5">
        <f t="shared" si="16"/>
        <v>1</v>
      </c>
    </row>
    <row r="68" spans="1:14" x14ac:dyDescent="0.25">
      <c r="A68" s="58" t="s">
        <v>211</v>
      </c>
      <c r="B68" s="58">
        <v>107</v>
      </c>
      <c r="C68" s="58">
        <v>81</v>
      </c>
      <c r="D68" s="58">
        <v>22</v>
      </c>
      <c r="E68" s="58">
        <v>8</v>
      </c>
      <c r="F68" s="58">
        <f t="shared" si="13"/>
        <v>218</v>
      </c>
      <c r="I68" s="58" t="s">
        <v>211</v>
      </c>
      <c r="J68" s="5">
        <f>B68/218</f>
        <v>0.49082568807339449</v>
      </c>
      <c r="K68" s="5">
        <f t="shared" ref="K68:N68" si="17">C68/218</f>
        <v>0.37155963302752293</v>
      </c>
      <c r="L68" s="5">
        <f t="shared" si="17"/>
        <v>0.10091743119266056</v>
      </c>
      <c r="M68" s="5">
        <f t="shared" si="17"/>
        <v>3.669724770642202E-2</v>
      </c>
      <c r="N68" s="5">
        <f t="shared" si="17"/>
        <v>1</v>
      </c>
    </row>
    <row r="69" spans="1:14" x14ac:dyDescent="0.25">
      <c r="A69" s="58" t="s">
        <v>203</v>
      </c>
      <c r="B69" s="58">
        <v>56</v>
      </c>
      <c r="C69" s="58">
        <v>88</v>
      </c>
      <c r="D69" s="58">
        <v>51</v>
      </c>
      <c r="E69" s="58">
        <v>22</v>
      </c>
      <c r="F69" s="58">
        <f t="shared" si="13"/>
        <v>217</v>
      </c>
      <c r="I69" s="58" t="s">
        <v>203</v>
      </c>
      <c r="J69" s="5">
        <f>B69/217</f>
        <v>0.25806451612903225</v>
      </c>
      <c r="K69" s="5">
        <f t="shared" ref="K69:N69" si="18">C69/217</f>
        <v>0.40552995391705071</v>
      </c>
      <c r="L69" s="5">
        <f t="shared" si="18"/>
        <v>0.23502304147465439</v>
      </c>
      <c r="M69" s="5">
        <f t="shared" si="18"/>
        <v>0.10138248847926268</v>
      </c>
      <c r="N69" s="5">
        <f t="shared" si="18"/>
        <v>1</v>
      </c>
    </row>
    <row r="70" spans="1:14" x14ac:dyDescent="0.25">
      <c r="A70" s="58" t="s">
        <v>204</v>
      </c>
      <c r="B70" s="58">
        <v>93</v>
      </c>
      <c r="C70" s="58">
        <v>110</v>
      </c>
      <c r="D70" s="58">
        <v>11</v>
      </c>
      <c r="E70" s="58">
        <v>6</v>
      </c>
      <c r="F70" s="58">
        <f t="shared" si="13"/>
        <v>220</v>
      </c>
      <c r="I70" s="58" t="s">
        <v>204</v>
      </c>
      <c r="J70" s="5">
        <f>B70/220</f>
        <v>0.42272727272727273</v>
      </c>
      <c r="K70" s="5">
        <f t="shared" ref="K70:N70" si="19">C70/220</f>
        <v>0.5</v>
      </c>
      <c r="L70" s="5">
        <f t="shared" si="19"/>
        <v>0.05</v>
      </c>
      <c r="M70" s="5">
        <f t="shared" si="19"/>
        <v>2.7272727272727271E-2</v>
      </c>
      <c r="N70" s="5">
        <f t="shared" si="19"/>
        <v>1</v>
      </c>
    </row>
    <row r="71" spans="1:14" x14ac:dyDescent="0.25">
      <c r="A71" s="58" t="s">
        <v>205</v>
      </c>
      <c r="B71" s="58">
        <v>11</v>
      </c>
      <c r="C71" s="58">
        <v>51</v>
      </c>
      <c r="D71" s="58">
        <v>73</v>
      </c>
      <c r="E71" s="58">
        <v>79</v>
      </c>
      <c r="F71" s="58">
        <f t="shared" si="13"/>
        <v>214</v>
      </c>
      <c r="I71" s="58" t="s">
        <v>205</v>
      </c>
      <c r="J71" s="5">
        <f>B71/214</f>
        <v>5.1401869158878503E-2</v>
      </c>
      <c r="K71" s="5">
        <f t="shared" ref="K71:N71" si="20">C71/214</f>
        <v>0.23831775700934579</v>
      </c>
      <c r="L71" s="5">
        <f t="shared" si="20"/>
        <v>0.34112149532710279</v>
      </c>
      <c r="M71" s="5">
        <f t="shared" si="20"/>
        <v>0.36915887850467288</v>
      </c>
      <c r="N71" s="5">
        <f t="shared" si="20"/>
        <v>1</v>
      </c>
    </row>
    <row r="72" spans="1:14" x14ac:dyDescent="0.25">
      <c r="A72" s="58" t="s">
        <v>206</v>
      </c>
      <c r="B72" s="58">
        <v>77</v>
      </c>
      <c r="C72" s="58">
        <v>98</v>
      </c>
      <c r="D72" s="58">
        <v>30</v>
      </c>
      <c r="E72" s="58">
        <v>10</v>
      </c>
      <c r="F72" s="58">
        <f t="shared" si="13"/>
        <v>215</v>
      </c>
      <c r="I72" s="58" t="s">
        <v>206</v>
      </c>
      <c r="J72" s="5">
        <f>B72/215</f>
        <v>0.35813953488372091</v>
      </c>
      <c r="K72" s="5">
        <f t="shared" ref="K72:N72" si="21">C72/215</f>
        <v>0.45581395348837211</v>
      </c>
      <c r="L72" s="5">
        <f t="shared" si="21"/>
        <v>0.13953488372093023</v>
      </c>
      <c r="M72" s="5">
        <f t="shared" si="21"/>
        <v>4.6511627906976744E-2</v>
      </c>
      <c r="N72" s="5">
        <f t="shared" si="21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7" sqref="I7"/>
    </sheetView>
  </sheetViews>
  <sheetFormatPr defaultRowHeight="15" x14ac:dyDescent="0.25"/>
  <cols>
    <col min="1" max="1" width="76.85546875" bestFit="1" customWidth="1"/>
    <col min="6" max="6" width="94.7109375" bestFit="1" customWidth="1"/>
  </cols>
  <sheetData>
    <row r="1" spans="1:9" x14ac:dyDescent="0.25">
      <c r="A1" t="s">
        <v>213</v>
      </c>
    </row>
    <row r="2" spans="1:9" x14ac:dyDescent="0.25">
      <c r="A2" s="4"/>
      <c r="B2" s="4" t="s">
        <v>81</v>
      </c>
      <c r="C2" s="4" t="s">
        <v>80</v>
      </c>
      <c r="D2" s="4" t="s">
        <v>53</v>
      </c>
      <c r="F2" s="4"/>
      <c r="G2" s="4" t="s">
        <v>81</v>
      </c>
      <c r="H2" s="4" t="s">
        <v>80</v>
      </c>
      <c r="I2" s="4" t="s">
        <v>53</v>
      </c>
    </row>
    <row r="3" spans="1:9" x14ac:dyDescent="0.25">
      <c r="A3" s="4" t="s">
        <v>214</v>
      </c>
      <c r="B3" s="4">
        <v>185</v>
      </c>
      <c r="C3" s="4">
        <v>162</v>
      </c>
      <c r="D3" s="4">
        <f>SUM(B3:C3)</f>
        <v>347</v>
      </c>
      <c r="F3" s="4" t="s">
        <v>214</v>
      </c>
      <c r="G3" s="5">
        <f>B3/347</f>
        <v>0.5331412103746398</v>
      </c>
      <c r="H3" s="5">
        <f t="shared" ref="H3:I3" si="0">C3/347</f>
        <v>0.4668587896253602</v>
      </c>
      <c r="I3" s="5">
        <f t="shared" si="0"/>
        <v>1</v>
      </c>
    </row>
    <row r="4" spans="1:9" x14ac:dyDescent="0.25">
      <c r="A4" s="4" t="s">
        <v>215</v>
      </c>
      <c r="B4" s="4">
        <v>204</v>
      </c>
      <c r="C4" s="4">
        <v>136</v>
      </c>
      <c r="D4" s="4">
        <f t="shared" ref="D4:D15" si="1">SUM(B4:C4)</f>
        <v>340</v>
      </c>
      <c r="F4" s="4" t="s">
        <v>215</v>
      </c>
      <c r="G4" s="5">
        <f>B4/340</f>
        <v>0.6</v>
      </c>
      <c r="H4" s="5">
        <f t="shared" ref="H4:I4" si="2">C4/340</f>
        <v>0.4</v>
      </c>
      <c r="I4" s="5">
        <f t="shared" si="2"/>
        <v>1</v>
      </c>
    </row>
    <row r="5" spans="1:9" x14ac:dyDescent="0.25">
      <c r="A5" s="4" t="s">
        <v>216</v>
      </c>
      <c r="B5" s="4">
        <v>109</v>
      </c>
      <c r="C5" s="4">
        <v>234</v>
      </c>
      <c r="D5" s="4">
        <f t="shared" si="1"/>
        <v>343</v>
      </c>
      <c r="F5" s="4" t="s">
        <v>216</v>
      </c>
      <c r="G5" s="5">
        <f>B5/343</f>
        <v>0.31778425655976678</v>
      </c>
      <c r="H5" s="5">
        <f t="shared" ref="H5:I5" si="3">C5/343</f>
        <v>0.68221574344023328</v>
      </c>
      <c r="I5" s="5">
        <f t="shared" si="3"/>
        <v>1</v>
      </c>
    </row>
    <row r="6" spans="1:9" x14ac:dyDescent="0.25">
      <c r="A6" s="4" t="s">
        <v>217</v>
      </c>
      <c r="B6" s="4">
        <v>117</v>
      </c>
      <c r="C6" s="4">
        <v>224</v>
      </c>
      <c r="D6" s="4">
        <f t="shared" si="1"/>
        <v>341</v>
      </c>
      <c r="F6" s="4" t="s">
        <v>217</v>
      </c>
      <c r="G6" s="5">
        <f>B6/341</f>
        <v>0.34310850439882695</v>
      </c>
      <c r="H6" s="5">
        <f t="shared" ref="H6:I6" si="4">C6/341</f>
        <v>0.65689149560117299</v>
      </c>
      <c r="I6" s="5">
        <f t="shared" si="4"/>
        <v>1</v>
      </c>
    </row>
    <row r="7" spans="1:9" x14ac:dyDescent="0.25">
      <c r="A7" s="4" t="s">
        <v>218</v>
      </c>
      <c r="B7" s="4">
        <v>93</v>
      </c>
      <c r="C7" s="4">
        <v>249</v>
      </c>
      <c r="D7" s="4">
        <f t="shared" si="1"/>
        <v>342</v>
      </c>
      <c r="F7" s="4" t="s">
        <v>218</v>
      </c>
      <c r="G7" s="5">
        <f>B7/342</f>
        <v>0.27192982456140352</v>
      </c>
      <c r="H7" s="5">
        <f t="shared" ref="H7:I7" si="5">C7/342</f>
        <v>0.72807017543859653</v>
      </c>
      <c r="I7" s="5">
        <f t="shared" si="5"/>
        <v>1</v>
      </c>
    </row>
    <row r="8" spans="1:9" x14ac:dyDescent="0.25">
      <c r="A8" s="4" t="s">
        <v>219</v>
      </c>
      <c r="B8" s="4">
        <v>45</v>
      </c>
      <c r="C8" s="4">
        <v>296</v>
      </c>
      <c r="D8" s="4">
        <f t="shared" si="1"/>
        <v>341</v>
      </c>
      <c r="F8" s="4" t="s">
        <v>219</v>
      </c>
      <c r="G8" s="5">
        <f>B8/341</f>
        <v>0.13196480938416422</v>
      </c>
      <c r="H8" s="5">
        <f t="shared" ref="H8:I8" si="6">C8/341</f>
        <v>0.86803519061583578</v>
      </c>
      <c r="I8" s="5">
        <f t="shared" si="6"/>
        <v>1</v>
      </c>
    </row>
    <row r="9" spans="1:9" x14ac:dyDescent="0.25">
      <c r="A9" s="4" t="s">
        <v>220</v>
      </c>
      <c r="B9" s="4">
        <v>42</v>
      </c>
      <c r="C9" s="4">
        <v>293</v>
      </c>
      <c r="D9" s="4">
        <f t="shared" si="1"/>
        <v>335</v>
      </c>
      <c r="F9" s="4" t="s">
        <v>220</v>
      </c>
      <c r="G9" s="5">
        <f>B9/335</f>
        <v>0.1253731343283582</v>
      </c>
      <c r="H9" s="5">
        <f t="shared" ref="H9:I9" si="7">C9/335</f>
        <v>0.87462686567164183</v>
      </c>
      <c r="I9" s="5">
        <f t="shared" si="7"/>
        <v>1</v>
      </c>
    </row>
    <row r="10" spans="1:9" x14ac:dyDescent="0.25">
      <c r="A10" s="4" t="s">
        <v>221</v>
      </c>
      <c r="B10" s="4">
        <v>206</v>
      </c>
      <c r="C10" s="4">
        <v>140</v>
      </c>
      <c r="D10" s="4">
        <f t="shared" si="1"/>
        <v>346</v>
      </c>
      <c r="F10" s="4" t="s">
        <v>221</v>
      </c>
      <c r="G10" s="5">
        <f>B10/346</f>
        <v>0.59537572254335258</v>
      </c>
      <c r="H10" s="5">
        <f t="shared" ref="H10:I10" si="8">C10/346</f>
        <v>0.40462427745664742</v>
      </c>
      <c r="I10" s="5">
        <f t="shared" si="8"/>
        <v>1</v>
      </c>
    </row>
    <row r="11" spans="1:9" x14ac:dyDescent="0.25">
      <c r="A11" s="4" t="s">
        <v>222</v>
      </c>
      <c r="B11" s="4">
        <v>179</v>
      </c>
      <c r="C11" s="4">
        <v>168</v>
      </c>
      <c r="D11" s="4">
        <f t="shared" si="1"/>
        <v>347</v>
      </c>
      <c r="F11" s="4" t="s">
        <v>222</v>
      </c>
      <c r="G11" s="5">
        <f>B11/347</f>
        <v>0.51585014409221897</v>
      </c>
      <c r="H11" s="5">
        <f t="shared" ref="H11:I11" si="9">C11/347</f>
        <v>0.48414985590778098</v>
      </c>
      <c r="I11" s="5">
        <f t="shared" si="9"/>
        <v>1</v>
      </c>
    </row>
    <row r="12" spans="1:9" x14ac:dyDescent="0.25">
      <c r="A12" s="4" t="s">
        <v>223</v>
      </c>
      <c r="B12" s="4">
        <v>131</v>
      </c>
      <c r="C12" s="4">
        <v>207</v>
      </c>
      <c r="D12" s="4">
        <f t="shared" si="1"/>
        <v>338</v>
      </c>
      <c r="F12" s="4" t="s">
        <v>223</v>
      </c>
      <c r="G12" s="5">
        <f>B12/338</f>
        <v>0.3875739644970414</v>
      </c>
      <c r="H12" s="5">
        <f t="shared" ref="H12:I12" si="10">C12/338</f>
        <v>0.6124260355029586</v>
      </c>
      <c r="I12" s="5">
        <f t="shared" si="10"/>
        <v>1</v>
      </c>
    </row>
    <row r="13" spans="1:9" x14ac:dyDescent="0.25">
      <c r="A13" s="4" t="s">
        <v>224</v>
      </c>
      <c r="B13" s="4">
        <v>85</v>
      </c>
      <c r="C13" s="4">
        <v>256</v>
      </c>
      <c r="D13" s="4">
        <f t="shared" si="1"/>
        <v>341</v>
      </c>
      <c r="F13" s="4" t="s">
        <v>224</v>
      </c>
      <c r="G13" s="5">
        <f>B13/341</f>
        <v>0.24926686217008798</v>
      </c>
      <c r="H13" s="5">
        <f t="shared" ref="H13:I13" si="11">C13/341</f>
        <v>0.75073313782991202</v>
      </c>
      <c r="I13" s="5">
        <f t="shared" si="11"/>
        <v>1</v>
      </c>
    </row>
    <row r="14" spans="1:9" x14ac:dyDescent="0.25">
      <c r="A14" s="4" t="s">
        <v>225</v>
      </c>
      <c r="B14" s="4">
        <v>92</v>
      </c>
      <c r="C14" s="4">
        <v>247</v>
      </c>
      <c r="D14" s="4">
        <f t="shared" si="1"/>
        <v>339</v>
      </c>
      <c r="F14" s="4" t="s">
        <v>225</v>
      </c>
      <c r="G14" s="5">
        <f>B14/339</f>
        <v>0.27138643067846607</v>
      </c>
      <c r="H14" s="5">
        <f t="shared" ref="H14:I14" si="12">C14/339</f>
        <v>0.72861356932153387</v>
      </c>
      <c r="I14" s="5">
        <f t="shared" si="12"/>
        <v>1</v>
      </c>
    </row>
    <row r="15" spans="1:9" x14ac:dyDescent="0.25">
      <c r="A15" s="4" t="s">
        <v>226</v>
      </c>
      <c r="B15" s="4">
        <v>43</v>
      </c>
      <c r="C15" s="4">
        <v>292</v>
      </c>
      <c r="D15" s="4">
        <f t="shared" si="1"/>
        <v>335</v>
      </c>
      <c r="F15" s="4" t="s">
        <v>226</v>
      </c>
      <c r="G15" s="5">
        <f>B15/335</f>
        <v>0.12835820895522387</v>
      </c>
      <c r="H15" s="5">
        <f t="shared" ref="H15:I15" si="13">C15/335</f>
        <v>0.87164179104477613</v>
      </c>
      <c r="I15" s="5">
        <f t="shared" si="13"/>
        <v>1</v>
      </c>
    </row>
  </sheetData>
  <pageMargins left="0.7" right="0.7" top="0.75" bottom="0.75" header="0.3" footer="0.3"/>
  <ignoredErrors>
    <ignoredError sqref="G7:I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Main Information Sheet</vt:lpstr>
      <vt:lpstr>1</vt:lpstr>
      <vt:lpstr>2</vt:lpstr>
      <vt:lpstr>4 </vt:lpstr>
      <vt:lpstr>6</vt:lpstr>
      <vt:lpstr>9</vt:lpstr>
      <vt:lpstr>10</vt:lpstr>
      <vt:lpstr>12</vt:lpstr>
      <vt:lpstr>13</vt:lpstr>
      <vt:lpstr>14</vt:lpstr>
      <vt:lpstr>15</vt:lpstr>
      <vt:lpstr>18</vt:lpstr>
      <vt:lpstr>19</vt:lpstr>
      <vt:lpstr>20</vt:lpstr>
      <vt:lpstr>21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37</vt:lpstr>
      <vt:lpstr>38</vt:lpstr>
      <vt:lpstr>41</vt:lpstr>
      <vt:lpstr>47</vt:lpstr>
      <vt:lpstr>Mentor</vt:lpstr>
      <vt:lpstr>Campus Climate</vt:lpstr>
      <vt:lpstr>Spirituality</vt:lpstr>
      <vt:lpstr>STEM</vt:lpstr>
    </vt:vector>
  </TitlesOfParts>
  <Company>University of Nebraska at Omaha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Jeanie Gutheil Bykerk</dc:creator>
  <cp:lastModifiedBy>Windows User</cp:lastModifiedBy>
  <cp:lastPrinted>2017-01-24T19:24:05Z</cp:lastPrinted>
  <dcterms:created xsi:type="dcterms:W3CDTF">2016-12-19T16:34:14Z</dcterms:created>
  <dcterms:modified xsi:type="dcterms:W3CDTF">2017-01-24T19:24:48Z</dcterms:modified>
</cp:coreProperties>
</file>